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comments2.xml" ContentType="application/vnd.openxmlformats-officedocument.spreadsheetml.comments+xml"/>
  <Override PartName="/xl/drawings/drawing1.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ables/table25.xml" ContentType="application/vnd.openxmlformats-officedocument.spreadsheetml.table+xml"/>
  <Override PartName="/xl/tables/table2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codeName="ThisWorkbook" defaultThemeVersion="166925"/>
  <mc:AlternateContent xmlns:mc="http://schemas.openxmlformats.org/markup-compatibility/2006">
    <mc:Choice Requires="x15">
      <x15ac:absPath xmlns:x15ac="http://schemas.microsoft.com/office/spreadsheetml/2010/11/ac" url="https://icfonline.sharepoint.com/teams/CED/DukeEnergyRNC/Shared Documents/Task 3_ Training/Technical Bulletins/20190 - 04 Plan review tool/"/>
    </mc:Choice>
  </mc:AlternateContent>
  <xr:revisionPtr revIDLastSave="0" documentId="8_{37C7FED1-0418-4C9C-AE50-66CD5528D7A2}" xr6:coauthVersionLast="34" xr6:coauthVersionMax="34" xr10:uidLastSave="{00000000-0000-0000-0000-000000000000}"/>
  <bookViews>
    <workbookView xWindow="0" yWindow="0" windowWidth="14400" windowHeight="5490" xr2:uid="{F5E681F8-4092-4CA9-8EE4-57D0D47E8E66}"/>
  </bookViews>
  <sheets>
    <sheet name="Summary" sheetId="4" r:id="rId1"/>
    <sheet name="Windows" sheetId="18" r:id="rId2"/>
    <sheet name="1st Floor" sheetId="7" r:id="rId3"/>
    <sheet name="2nd Floor" sheetId="15" r:id="rId4"/>
    <sheet name="3rd Floor" sheetId="16" r:id="rId5"/>
    <sheet name="4th Floor" sheetId="17" r:id="rId6"/>
    <sheet name="Bsmt-Found" sheetId="11" r:id="rId7"/>
    <sheet name="Reference" sheetId="2" r:id="rId8"/>
  </sheets>
  <definedNames>
    <definedName name="_xlnm._FilterDatabase" localSheetId="0" hidden="1">Summary!$A$45:$K$45</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0" i="4" l="1"/>
  <c r="F40" i="4"/>
  <c r="F36" i="4"/>
  <c r="D40" i="4"/>
  <c r="D36" i="4"/>
  <c r="E36" i="4"/>
  <c r="E40" i="4"/>
  <c r="C40" i="4"/>
  <c r="C36" i="4"/>
  <c r="B40" i="4"/>
  <c r="E16" i="4" l="1"/>
  <c r="B12" i="11" l="1"/>
  <c r="B13" i="11"/>
  <c r="B14" i="11"/>
  <c r="B15" i="11"/>
  <c r="N52" i="4" l="1"/>
  <c r="O52" i="4"/>
  <c r="I52" i="4"/>
  <c r="J52" i="4"/>
  <c r="B18" i="17"/>
  <c r="B19" i="17"/>
  <c r="B20" i="17"/>
  <c r="B16" i="17"/>
  <c r="F36" i="16"/>
  <c r="K52" i="4" l="1"/>
  <c r="P52" i="15"/>
  <c r="P47" i="15"/>
  <c r="P50" i="15"/>
  <c r="P49" i="15"/>
  <c r="P48" i="15"/>
  <c r="P51" i="15"/>
  <c r="G52" i="4" l="1"/>
  <c r="H52" i="4" s="1"/>
  <c r="F36" i="7" l="1"/>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J49" i="4" l="1"/>
  <c r="I48" i="4"/>
  <c r="I49" i="4"/>
  <c r="I50" i="4"/>
  <c r="I51" i="4"/>
  <c r="N48" i="4"/>
  <c r="O48" i="4"/>
  <c r="G48" i="4" l="1"/>
  <c r="G49" i="4"/>
  <c r="G50" i="4"/>
  <c r="G51" i="4"/>
  <c r="A45" i="18"/>
  <c r="J50" i="4"/>
  <c r="J51" i="4"/>
  <c r="N51" i="4" l="1"/>
  <c r="O51" i="4"/>
  <c r="O50" i="4"/>
  <c r="N50" i="4"/>
  <c r="N49" i="4"/>
  <c r="O49" i="4"/>
  <c r="P36" i="7"/>
  <c r="B17" i="7"/>
  <c r="C37" i="4" s="1"/>
  <c r="B18" i="7"/>
  <c r="D37" i="4" s="1"/>
  <c r="B19" i="7"/>
  <c r="E37" i="4" s="1"/>
  <c r="B20" i="7"/>
  <c r="F37" i="4" s="1"/>
  <c r="B16" i="7"/>
  <c r="B37" i="4" s="1"/>
  <c r="B18" i="15"/>
  <c r="D38" i="4" s="1"/>
  <c r="B19" i="15"/>
  <c r="E38" i="4" s="1"/>
  <c r="B16" i="15"/>
  <c r="B38" i="4" s="1"/>
  <c r="B18" i="16"/>
  <c r="D39" i="4" s="1"/>
  <c r="B19" i="16"/>
  <c r="E39" i="4" s="1"/>
  <c r="B16" i="16"/>
  <c r="B39" i="4" s="1"/>
  <c r="J48" i="4" l="1"/>
  <c r="F32" i="18" l="1"/>
  <c r="G32" i="18"/>
  <c r="H32" i="18"/>
  <c r="O32" i="18"/>
  <c r="A73" i="18"/>
  <c r="O31" i="18"/>
  <c r="H31" i="18"/>
  <c r="G31" i="18"/>
  <c r="F31" i="18"/>
  <c r="O30" i="18"/>
  <c r="H30" i="18"/>
  <c r="G30" i="18"/>
  <c r="F30" i="18"/>
  <c r="O29" i="18"/>
  <c r="H29" i="18"/>
  <c r="G29" i="18"/>
  <c r="F29" i="18"/>
  <c r="O28" i="18"/>
  <c r="H28" i="18"/>
  <c r="G28" i="18"/>
  <c r="F28" i="18"/>
  <c r="O27" i="18"/>
  <c r="H27" i="18"/>
  <c r="G27" i="18"/>
  <c r="F27" i="18"/>
  <c r="O26" i="18"/>
  <c r="H26" i="18"/>
  <c r="G26" i="18"/>
  <c r="F26" i="18"/>
  <c r="O25" i="18"/>
  <c r="H25" i="18"/>
  <c r="G25" i="18"/>
  <c r="F25" i="18"/>
  <c r="O24" i="18"/>
  <c r="H24" i="18"/>
  <c r="G24" i="18"/>
  <c r="F24" i="18"/>
  <c r="O23" i="18"/>
  <c r="H23" i="18"/>
  <c r="G23" i="18"/>
  <c r="F23" i="18"/>
  <c r="O22" i="18"/>
  <c r="F22" i="18"/>
  <c r="O21" i="18"/>
  <c r="F21" i="18"/>
  <c r="O20" i="18"/>
  <c r="F20" i="18"/>
  <c r="O19" i="18"/>
  <c r="F19" i="18"/>
  <c r="G19" i="18" s="1"/>
  <c r="O18" i="18"/>
  <c r="F18" i="18"/>
  <c r="O17" i="18"/>
  <c r="F17" i="18"/>
  <c r="O16" i="18"/>
  <c r="F16" i="18"/>
  <c r="O15" i="18"/>
  <c r="F15" i="18"/>
  <c r="O14" i="18"/>
  <c r="F14" i="18"/>
  <c r="O13" i="18"/>
  <c r="F13" i="18"/>
  <c r="G13" i="18" s="1"/>
  <c r="O12" i="18"/>
  <c r="F12" i="18"/>
  <c r="G12" i="18" s="1"/>
  <c r="O11" i="18"/>
  <c r="F11" i="18"/>
  <c r="O10" i="18"/>
  <c r="F10" i="18"/>
  <c r="O9" i="18"/>
  <c r="F9" i="18"/>
  <c r="G9" i="18" s="1"/>
  <c r="O8" i="18"/>
  <c r="F8" i="18"/>
  <c r="G8" i="18" s="1"/>
  <c r="O7" i="18"/>
  <c r="F7" i="18"/>
  <c r="O6" i="18"/>
  <c r="F6" i="18"/>
  <c r="G6" i="18" s="1"/>
  <c r="O5" i="18"/>
  <c r="F5" i="18"/>
  <c r="O4" i="18"/>
  <c r="F4" i="18"/>
  <c r="G4" i="18" s="1"/>
  <c r="O3" i="18"/>
  <c r="F3" i="18"/>
  <c r="D42" i="18" l="1"/>
  <c r="D49" i="18"/>
  <c r="D55" i="18"/>
  <c r="D61" i="18"/>
  <c r="D66" i="18"/>
  <c r="D70" i="18"/>
  <c r="D75" i="18"/>
  <c r="D80" i="18"/>
  <c r="D84" i="18"/>
  <c r="D89" i="18"/>
  <c r="D71" i="18"/>
  <c r="D81" i="18"/>
  <c r="D90" i="18"/>
  <c r="D59" i="18"/>
  <c r="D69" i="18"/>
  <c r="D88" i="18"/>
  <c r="D43" i="18"/>
  <c r="D50" i="18"/>
  <c r="D56" i="18"/>
  <c r="D62" i="18"/>
  <c r="D67" i="18"/>
  <c r="D76" i="18"/>
  <c r="D85" i="18"/>
  <c r="D53" i="18"/>
  <c r="D74" i="18"/>
  <c r="D83" i="18"/>
  <c r="D40" i="18"/>
  <c r="D45" i="18"/>
  <c r="D52" i="18"/>
  <c r="D57" i="18"/>
  <c r="D63" i="18"/>
  <c r="D68" i="18"/>
  <c r="D73" i="18"/>
  <c r="D77" i="18"/>
  <c r="D82" i="18"/>
  <c r="D87" i="18"/>
  <c r="D93" i="18" s="1"/>
  <c r="D91" i="18"/>
  <c r="D41" i="18"/>
  <c r="D48" i="18"/>
  <c r="D64" i="18"/>
  <c r="D78" i="18"/>
  <c r="D92" i="18"/>
  <c r="G21" i="18"/>
  <c r="H21" i="18" s="1"/>
  <c r="C73" i="18"/>
  <c r="C77" i="18"/>
  <c r="C75" i="18"/>
  <c r="C70" i="18"/>
  <c r="C54" i="18"/>
  <c r="C52" i="18"/>
  <c r="C50" i="18"/>
  <c r="C41" i="18"/>
  <c r="C60" i="18"/>
  <c r="C64" i="18"/>
  <c r="C84" i="18"/>
  <c r="C87" i="18"/>
  <c r="C57" i="18"/>
  <c r="C40" i="18"/>
  <c r="C85" i="18"/>
  <c r="C83" i="18"/>
  <c r="C81" i="18"/>
  <c r="C92" i="18"/>
  <c r="C90" i="18"/>
  <c r="C88" i="18"/>
  <c r="C67" i="18"/>
  <c r="C71" i="18"/>
  <c r="C55" i="18"/>
  <c r="C47" i="18"/>
  <c r="C45" i="18"/>
  <c r="C42" i="18"/>
  <c r="C61" i="18"/>
  <c r="C82" i="18"/>
  <c r="C89" i="18"/>
  <c r="C69" i="18"/>
  <c r="C49" i="18"/>
  <c r="C59" i="18"/>
  <c r="C78" i="18"/>
  <c r="C76" i="18"/>
  <c r="C74" i="18"/>
  <c r="C68" i="18"/>
  <c r="C66" i="18"/>
  <c r="C56" i="18"/>
  <c r="C48" i="18"/>
  <c r="C39" i="18"/>
  <c r="C43" i="18"/>
  <c r="C62" i="18"/>
  <c r="C80" i="18"/>
  <c r="C91" i="18"/>
  <c r="C53" i="18"/>
  <c r="C63" i="18"/>
  <c r="C46" i="18"/>
  <c r="C38" i="18"/>
  <c r="G18" i="18"/>
  <c r="H18" i="18" s="1"/>
  <c r="I27" i="18"/>
  <c r="I28" i="18"/>
  <c r="I29" i="18"/>
  <c r="H8" i="18"/>
  <c r="J8" i="18" s="1"/>
  <c r="K8" i="18" s="1"/>
  <c r="H12" i="18"/>
  <c r="I12" i="18" s="1"/>
  <c r="H13" i="18"/>
  <c r="J13" i="18" s="1"/>
  <c r="K13" i="18" s="1"/>
  <c r="G22" i="18"/>
  <c r="H22" i="18" s="1"/>
  <c r="G20" i="18"/>
  <c r="H19" i="18"/>
  <c r="I19" i="18" s="1"/>
  <c r="G17" i="18"/>
  <c r="H17" i="18" s="1"/>
  <c r="G16" i="18"/>
  <c r="G15" i="18"/>
  <c r="H15" i="18" s="1"/>
  <c r="G14" i="18"/>
  <c r="H14" i="18" s="1"/>
  <c r="G11" i="18"/>
  <c r="G10" i="18"/>
  <c r="H9" i="18"/>
  <c r="I9" i="18" s="1"/>
  <c r="G7" i="18"/>
  <c r="H7" i="18" s="1"/>
  <c r="H6" i="18"/>
  <c r="I6" i="18" s="1"/>
  <c r="J32" i="18"/>
  <c r="K32" i="18" s="1"/>
  <c r="L32" i="18" s="1"/>
  <c r="R32" i="18" s="1"/>
  <c r="I31" i="18"/>
  <c r="I32" i="18"/>
  <c r="I23" i="18"/>
  <c r="G5" i="18"/>
  <c r="H5" i="18" s="1"/>
  <c r="H4" i="18"/>
  <c r="I4" i="18" s="1"/>
  <c r="A59" i="18"/>
  <c r="A87" i="18"/>
  <c r="A52" i="18"/>
  <c r="I26" i="18"/>
  <c r="A66" i="18"/>
  <c r="A80" i="18"/>
  <c r="I24" i="18"/>
  <c r="I30" i="18"/>
  <c r="G3" i="18"/>
  <c r="J28" i="18"/>
  <c r="K28" i="18" s="1"/>
  <c r="J23" i="18"/>
  <c r="K23" i="18" s="1"/>
  <c r="J27" i="18"/>
  <c r="K27" i="18" s="1"/>
  <c r="J31" i="18"/>
  <c r="K31" i="18" s="1"/>
  <c r="I25" i="18"/>
  <c r="J26" i="18"/>
  <c r="J30" i="18"/>
  <c r="K30" i="18" s="1"/>
  <c r="J24" i="18"/>
  <c r="J25" i="18"/>
  <c r="K25" i="18" s="1"/>
  <c r="J29" i="18"/>
  <c r="D72" i="18" l="1"/>
  <c r="D79" i="18"/>
  <c r="D86" i="18"/>
  <c r="C51" i="18"/>
  <c r="I21" i="18"/>
  <c r="J21" i="18"/>
  <c r="K21" i="18" s="1"/>
  <c r="C44" i="18"/>
  <c r="C86" i="18"/>
  <c r="C79" i="18"/>
  <c r="C72" i="18"/>
  <c r="C65" i="18"/>
  <c r="C93" i="18"/>
  <c r="C58" i="18"/>
  <c r="I13" i="18"/>
  <c r="J6" i="18"/>
  <c r="K6" i="18" s="1"/>
  <c r="L6" i="18" s="1"/>
  <c r="I8" i="18"/>
  <c r="I18" i="18"/>
  <c r="J18" i="18"/>
  <c r="K18" i="18" s="1"/>
  <c r="L18" i="18" s="1"/>
  <c r="R18" i="18" s="1"/>
  <c r="J12" i="18"/>
  <c r="K12" i="18" s="1"/>
  <c r="L12" i="18" s="1"/>
  <c r="J9" i="18"/>
  <c r="K9" i="18" s="1"/>
  <c r="L9" i="18" s="1"/>
  <c r="J4" i="18"/>
  <c r="K4" i="18" s="1"/>
  <c r="J19" i="18"/>
  <c r="K19" i="18" s="1"/>
  <c r="L19" i="18" s="1"/>
  <c r="I22" i="18"/>
  <c r="J22" i="18"/>
  <c r="K22" i="18" s="1"/>
  <c r="L22" i="18" s="1"/>
  <c r="R22" i="18" s="1"/>
  <c r="H20" i="18"/>
  <c r="J20" i="18" s="1"/>
  <c r="K20" i="18" s="1"/>
  <c r="I17" i="18"/>
  <c r="J17" i="18"/>
  <c r="K17" i="18" s="1"/>
  <c r="H16" i="18"/>
  <c r="J16" i="18" s="1"/>
  <c r="K16" i="18" s="1"/>
  <c r="I15" i="18"/>
  <c r="J15" i="18"/>
  <c r="K15" i="18" s="1"/>
  <c r="L15" i="18" s="1"/>
  <c r="R15" i="18" s="1"/>
  <c r="I14" i="18"/>
  <c r="J14" i="18"/>
  <c r="K14" i="18" s="1"/>
  <c r="H11" i="18"/>
  <c r="J11" i="18" s="1"/>
  <c r="H10" i="18"/>
  <c r="J10" i="18" s="1"/>
  <c r="K10" i="18" s="1"/>
  <c r="J7" i="18"/>
  <c r="K7" i="18" s="1"/>
  <c r="I7" i="18"/>
  <c r="M32" i="18"/>
  <c r="N32" i="18" s="1"/>
  <c r="J5" i="18"/>
  <c r="K5" i="18" s="1"/>
  <c r="L5" i="18" s="1"/>
  <c r="I5" i="18"/>
  <c r="H3" i="18"/>
  <c r="J3" i="18" s="1"/>
  <c r="K24" i="18"/>
  <c r="L24" i="18" s="1"/>
  <c r="L23" i="18"/>
  <c r="K29" i="18"/>
  <c r="L29" i="18" s="1"/>
  <c r="L21" i="18"/>
  <c r="L31" i="18"/>
  <c r="L13" i="18"/>
  <c r="L30" i="18"/>
  <c r="L25" i="18"/>
  <c r="L8" i="18"/>
  <c r="L27" i="18"/>
  <c r="L28" i="18"/>
  <c r="K26" i="18"/>
  <c r="L26" i="18" s="1"/>
  <c r="M28" i="18" l="1"/>
  <c r="N28" i="18" s="1"/>
  <c r="R28" i="18"/>
  <c r="M12" i="18"/>
  <c r="N12" i="18" s="1"/>
  <c r="R12" i="18"/>
  <c r="M27" i="18"/>
  <c r="N27" i="18" s="1"/>
  <c r="R27" i="18"/>
  <c r="M23" i="18"/>
  <c r="N23" i="18" s="1"/>
  <c r="R23" i="18"/>
  <c r="M19" i="18"/>
  <c r="N19" i="18" s="1"/>
  <c r="R19" i="18"/>
  <c r="M29" i="18"/>
  <c r="N29" i="18" s="1"/>
  <c r="R29" i="18"/>
  <c r="M31" i="18"/>
  <c r="N31" i="18" s="1"/>
  <c r="R31" i="18"/>
  <c r="M24" i="18"/>
  <c r="N24" i="18" s="1"/>
  <c r="R24" i="18"/>
  <c r="M30" i="18"/>
  <c r="N30" i="18" s="1"/>
  <c r="R30" i="18"/>
  <c r="M26" i="18"/>
  <c r="N26" i="18" s="1"/>
  <c r="R26" i="18"/>
  <c r="M25" i="18"/>
  <c r="N25" i="18" s="1"/>
  <c r="R25" i="18"/>
  <c r="M21" i="18"/>
  <c r="N21" i="18" s="1"/>
  <c r="R21" i="18"/>
  <c r="M18" i="18"/>
  <c r="N18" i="18" s="1"/>
  <c r="L4" i="18"/>
  <c r="M4" i="18" s="1"/>
  <c r="N4" i="18" s="1"/>
  <c r="M8" i="18"/>
  <c r="N8" i="18" s="1"/>
  <c r="R8" i="18"/>
  <c r="M22" i="18"/>
  <c r="N22" i="18" s="1"/>
  <c r="M5" i="18"/>
  <c r="N5" i="18" s="1"/>
  <c r="D39" i="18" s="1"/>
  <c r="R5" i="18"/>
  <c r="M9" i="18"/>
  <c r="N9" i="18" s="1"/>
  <c r="R9" i="18"/>
  <c r="R4" i="18"/>
  <c r="M6" i="18"/>
  <c r="N6" i="18" s="1"/>
  <c r="D46" i="18" s="1"/>
  <c r="R6" i="18"/>
  <c r="M15" i="18"/>
  <c r="N15" i="18" s="1"/>
  <c r="L14" i="18"/>
  <c r="M14" i="18" s="1"/>
  <c r="N14" i="18" s="1"/>
  <c r="M13" i="18"/>
  <c r="N13" i="18" s="1"/>
  <c r="R13" i="18"/>
  <c r="L20" i="18"/>
  <c r="R20" i="18" s="1"/>
  <c r="I20" i="18"/>
  <c r="L17" i="18"/>
  <c r="L16" i="18"/>
  <c r="R16" i="18" s="1"/>
  <c r="I16" i="18"/>
  <c r="K11" i="18"/>
  <c r="L11" i="18" s="1"/>
  <c r="R11" i="18" s="1"/>
  <c r="I11" i="18"/>
  <c r="L10" i="18"/>
  <c r="R10" i="18" s="1"/>
  <c r="I10" i="18"/>
  <c r="L7" i="18"/>
  <c r="K3" i="18"/>
  <c r="L3" i="18" s="1"/>
  <c r="R3" i="18" s="1"/>
  <c r="I3" i="18"/>
  <c r="M17" i="18" l="1"/>
  <c r="N17" i="18" s="1"/>
  <c r="R17" i="18"/>
  <c r="M7" i="18"/>
  <c r="N7" i="18" s="1"/>
  <c r="D60" i="18" s="1"/>
  <c r="D65" i="18" s="1"/>
  <c r="R7" i="18"/>
  <c r="M11" i="18"/>
  <c r="N11" i="18" s="1"/>
  <c r="D54" i="18" s="1"/>
  <c r="D58" i="18" s="1"/>
  <c r="M20" i="18"/>
  <c r="N20" i="18" s="1"/>
  <c r="R14" i="18"/>
  <c r="M16" i="18"/>
  <c r="N16" i="18" s="1"/>
  <c r="M10" i="18"/>
  <c r="N10" i="18" s="1"/>
  <c r="D47" i="18" s="1"/>
  <c r="D51" i="18" s="1"/>
  <c r="M3" i="18"/>
  <c r="N3" i="18" s="1"/>
  <c r="D38" i="18" s="1"/>
  <c r="D44" i="18" s="1"/>
  <c r="K49" i="4" l="1"/>
  <c r="K50" i="4"/>
  <c r="K51" i="4"/>
  <c r="A12" i="7"/>
  <c r="A11" i="7"/>
  <c r="A11" i="15"/>
  <c r="A12" i="15"/>
  <c r="A11" i="16"/>
  <c r="A12" i="16"/>
  <c r="A11" i="17"/>
  <c r="A12" i="17"/>
  <c r="Q66" i="17"/>
  <c r="P66" i="17"/>
  <c r="G66" i="17"/>
  <c r="F66" i="17"/>
  <c r="Q65" i="17"/>
  <c r="P65" i="17"/>
  <c r="G65" i="17"/>
  <c r="F65" i="17"/>
  <c r="Q64" i="17"/>
  <c r="P64" i="17"/>
  <c r="G64" i="17"/>
  <c r="F64" i="17"/>
  <c r="Q63" i="17"/>
  <c r="P63" i="17"/>
  <c r="G63" i="17"/>
  <c r="F63" i="17"/>
  <c r="Q62" i="17"/>
  <c r="P62" i="17"/>
  <c r="G62" i="17"/>
  <c r="F62" i="17"/>
  <c r="Q61" i="17"/>
  <c r="P61" i="17"/>
  <c r="G61" i="17"/>
  <c r="F61" i="17"/>
  <c r="Q60" i="17"/>
  <c r="P60" i="17"/>
  <c r="G60" i="17"/>
  <c r="F60" i="17"/>
  <c r="Q59" i="17"/>
  <c r="P59" i="17"/>
  <c r="G59" i="17"/>
  <c r="F59" i="17"/>
  <c r="Q58" i="17"/>
  <c r="P58" i="17"/>
  <c r="G58" i="17"/>
  <c r="F58" i="17"/>
  <c r="Q57" i="17"/>
  <c r="P57" i="17"/>
  <c r="G57" i="17"/>
  <c r="F57" i="17"/>
  <c r="Q56" i="17"/>
  <c r="P56" i="17"/>
  <c r="G56" i="17"/>
  <c r="F56" i="17"/>
  <c r="Q55" i="17"/>
  <c r="P55" i="17"/>
  <c r="G55" i="17"/>
  <c r="F55" i="17"/>
  <c r="Q54" i="17"/>
  <c r="P54" i="17"/>
  <c r="G54" i="17"/>
  <c r="F54" i="17"/>
  <c r="Q53" i="17"/>
  <c r="P53" i="17"/>
  <c r="G53" i="17"/>
  <c r="F53" i="17"/>
  <c r="Q52" i="17"/>
  <c r="P52" i="17"/>
  <c r="G52" i="17"/>
  <c r="F52" i="17"/>
  <c r="Q51" i="17"/>
  <c r="P51" i="17"/>
  <c r="G51" i="17"/>
  <c r="F51" i="17"/>
  <c r="Q50" i="17"/>
  <c r="P50" i="17"/>
  <c r="G50" i="17"/>
  <c r="F50" i="17"/>
  <c r="Q49" i="17"/>
  <c r="P49" i="17"/>
  <c r="G49" i="17"/>
  <c r="F49" i="17"/>
  <c r="Q48" i="17"/>
  <c r="P48" i="17"/>
  <c r="G48" i="17"/>
  <c r="F48" i="17"/>
  <c r="Q47" i="17"/>
  <c r="P47" i="17"/>
  <c r="G47" i="17"/>
  <c r="F47" i="17"/>
  <c r="Q46" i="17"/>
  <c r="P46" i="17"/>
  <c r="G46" i="17"/>
  <c r="F46" i="17"/>
  <c r="Q45" i="17"/>
  <c r="P45" i="17"/>
  <c r="G45" i="17"/>
  <c r="F45" i="17"/>
  <c r="Q44" i="17"/>
  <c r="P44" i="17"/>
  <c r="G44" i="17"/>
  <c r="F44" i="17"/>
  <c r="Q43" i="17"/>
  <c r="P43" i="17"/>
  <c r="G43" i="17"/>
  <c r="F43" i="17"/>
  <c r="Q42" i="17"/>
  <c r="P42" i="17"/>
  <c r="G42" i="17"/>
  <c r="F42" i="17"/>
  <c r="Q41" i="17"/>
  <c r="P41" i="17"/>
  <c r="G41" i="17"/>
  <c r="F41" i="17"/>
  <c r="Q40" i="17"/>
  <c r="P40" i="17"/>
  <c r="G40" i="17"/>
  <c r="F40" i="17"/>
  <c r="Q39" i="17"/>
  <c r="P39" i="17"/>
  <c r="G39" i="17"/>
  <c r="F39" i="17"/>
  <c r="Q38" i="17"/>
  <c r="P38" i="17"/>
  <c r="G38" i="17"/>
  <c r="F38" i="17"/>
  <c r="Q37" i="17"/>
  <c r="P37" i="17"/>
  <c r="G37" i="17"/>
  <c r="F37" i="17"/>
  <c r="Q36" i="17"/>
  <c r="P36" i="17"/>
  <c r="J40" i="4" s="1"/>
  <c r="G36" i="17"/>
  <c r="F36" i="17"/>
  <c r="S35" i="17"/>
  <c r="S63" i="17" s="1"/>
  <c r="R35" i="17"/>
  <c r="I35" i="17"/>
  <c r="H35" i="17"/>
  <c r="Q66" i="16"/>
  <c r="P66" i="16"/>
  <c r="G66" i="16"/>
  <c r="F66" i="16"/>
  <c r="Q65" i="16"/>
  <c r="P65" i="16"/>
  <c r="G65" i="16"/>
  <c r="F65" i="16"/>
  <c r="Q64" i="16"/>
  <c r="P64" i="16"/>
  <c r="G64" i="16"/>
  <c r="F64" i="16"/>
  <c r="Q63" i="16"/>
  <c r="P63" i="16"/>
  <c r="G63" i="16"/>
  <c r="F63" i="16"/>
  <c r="Q62" i="16"/>
  <c r="P62" i="16"/>
  <c r="G62" i="16"/>
  <c r="F62" i="16"/>
  <c r="Q61" i="16"/>
  <c r="P61" i="16"/>
  <c r="G61" i="16"/>
  <c r="F61" i="16"/>
  <c r="Q60" i="16"/>
  <c r="P60" i="16"/>
  <c r="G60" i="16"/>
  <c r="F60" i="16"/>
  <c r="Q59" i="16"/>
  <c r="P59" i="16"/>
  <c r="G59" i="16"/>
  <c r="F59" i="16"/>
  <c r="Q58" i="16"/>
  <c r="P58" i="16"/>
  <c r="G58" i="16"/>
  <c r="F58" i="16"/>
  <c r="Q57" i="16"/>
  <c r="P57" i="16"/>
  <c r="G57" i="16"/>
  <c r="F57" i="16"/>
  <c r="Q56" i="16"/>
  <c r="P56" i="16"/>
  <c r="G56" i="16"/>
  <c r="F56" i="16"/>
  <c r="Q55" i="16"/>
  <c r="P55" i="16"/>
  <c r="G55" i="16"/>
  <c r="F55" i="16"/>
  <c r="Q54" i="16"/>
  <c r="P54" i="16"/>
  <c r="G54" i="16"/>
  <c r="F54" i="16"/>
  <c r="Q53" i="16"/>
  <c r="P53" i="16"/>
  <c r="G53" i="16"/>
  <c r="F53" i="16"/>
  <c r="Q52" i="16"/>
  <c r="P52" i="16"/>
  <c r="G52" i="16"/>
  <c r="F52" i="16"/>
  <c r="Q51" i="16"/>
  <c r="P51" i="16"/>
  <c r="G51" i="16"/>
  <c r="F51" i="16"/>
  <c r="Q50" i="16"/>
  <c r="P50" i="16"/>
  <c r="G50" i="16"/>
  <c r="F50" i="16"/>
  <c r="Q49" i="16"/>
  <c r="P49" i="16"/>
  <c r="G49" i="16"/>
  <c r="F49" i="16"/>
  <c r="Q48" i="16"/>
  <c r="P48" i="16"/>
  <c r="G48" i="16"/>
  <c r="F48" i="16"/>
  <c r="Q47" i="16"/>
  <c r="P47" i="16"/>
  <c r="G47" i="16"/>
  <c r="F47" i="16"/>
  <c r="Q46" i="16"/>
  <c r="P46" i="16"/>
  <c r="G46" i="16"/>
  <c r="F46" i="16"/>
  <c r="Q45" i="16"/>
  <c r="P45" i="16"/>
  <c r="G45" i="16"/>
  <c r="F45" i="16"/>
  <c r="Q44" i="16"/>
  <c r="P44" i="16"/>
  <c r="G44" i="16"/>
  <c r="F44" i="16"/>
  <c r="Q43" i="16"/>
  <c r="P43" i="16"/>
  <c r="G43" i="16"/>
  <c r="F43" i="16"/>
  <c r="Q42" i="16"/>
  <c r="P42" i="16"/>
  <c r="G42" i="16"/>
  <c r="F42" i="16"/>
  <c r="Q41" i="16"/>
  <c r="P41" i="16"/>
  <c r="G41" i="16"/>
  <c r="F41" i="16"/>
  <c r="Q40" i="16"/>
  <c r="P40" i="16"/>
  <c r="G40" i="16"/>
  <c r="F40" i="16"/>
  <c r="Q39" i="16"/>
  <c r="P39" i="16"/>
  <c r="G39" i="16"/>
  <c r="F39" i="16"/>
  <c r="Q38" i="16"/>
  <c r="P38" i="16"/>
  <c r="G38" i="16"/>
  <c r="F38" i="16"/>
  <c r="Q37" i="16"/>
  <c r="P37" i="16"/>
  <c r="G37" i="16"/>
  <c r="F37" i="16"/>
  <c r="Q36" i="16"/>
  <c r="P36" i="16"/>
  <c r="G36" i="16"/>
  <c r="B20" i="16"/>
  <c r="F39" i="4" s="1"/>
  <c r="S35" i="16"/>
  <c r="R35" i="16"/>
  <c r="I35" i="16"/>
  <c r="H35" i="16"/>
  <c r="I32" i="11"/>
  <c r="H32" i="11"/>
  <c r="Q66" i="15"/>
  <c r="P66" i="15"/>
  <c r="G66" i="15"/>
  <c r="F66" i="15"/>
  <c r="Q65" i="15"/>
  <c r="P65" i="15"/>
  <c r="G65" i="15"/>
  <c r="F65" i="15"/>
  <c r="Q64" i="15"/>
  <c r="P64" i="15"/>
  <c r="G64" i="15"/>
  <c r="F64" i="15"/>
  <c r="Q63" i="15"/>
  <c r="P63" i="15"/>
  <c r="G63" i="15"/>
  <c r="F63" i="15"/>
  <c r="Q62" i="15"/>
  <c r="P62" i="15"/>
  <c r="G62" i="15"/>
  <c r="F62" i="15"/>
  <c r="Q61" i="15"/>
  <c r="P61" i="15"/>
  <c r="G61" i="15"/>
  <c r="F61" i="15"/>
  <c r="Q60" i="15"/>
  <c r="P60" i="15"/>
  <c r="G60" i="15"/>
  <c r="F60" i="15"/>
  <c r="Q59" i="15"/>
  <c r="P59" i="15"/>
  <c r="G59" i="15"/>
  <c r="F59" i="15"/>
  <c r="Q58" i="15"/>
  <c r="P58" i="15"/>
  <c r="G58" i="15"/>
  <c r="F58" i="15"/>
  <c r="Q57" i="15"/>
  <c r="P57" i="15"/>
  <c r="G57" i="15"/>
  <c r="F57" i="15"/>
  <c r="Q56" i="15"/>
  <c r="P56" i="15"/>
  <c r="G56" i="15"/>
  <c r="F56" i="15"/>
  <c r="Q55" i="15"/>
  <c r="P55" i="15"/>
  <c r="G55" i="15"/>
  <c r="F55" i="15"/>
  <c r="Q54" i="15"/>
  <c r="P54" i="15"/>
  <c r="G54" i="15"/>
  <c r="F54" i="15"/>
  <c r="Q53" i="15"/>
  <c r="P53" i="15"/>
  <c r="G53" i="15"/>
  <c r="F53" i="15"/>
  <c r="Q52" i="15"/>
  <c r="G52" i="15"/>
  <c r="F52" i="15"/>
  <c r="Q51" i="15"/>
  <c r="G51" i="15"/>
  <c r="F51" i="15"/>
  <c r="Q50" i="15"/>
  <c r="G50" i="15"/>
  <c r="F50" i="15"/>
  <c r="Q49" i="15"/>
  <c r="G49" i="15"/>
  <c r="F49" i="15"/>
  <c r="Q48" i="15"/>
  <c r="G48" i="15"/>
  <c r="F48" i="15"/>
  <c r="Q47" i="15"/>
  <c r="G47" i="15"/>
  <c r="F47" i="15"/>
  <c r="Q46" i="15"/>
  <c r="P46" i="15"/>
  <c r="G46" i="15"/>
  <c r="F46" i="15"/>
  <c r="Q45" i="15"/>
  <c r="P45" i="15"/>
  <c r="G45" i="15"/>
  <c r="F45" i="15"/>
  <c r="Q44" i="15"/>
  <c r="P44" i="15"/>
  <c r="G44" i="15"/>
  <c r="F44" i="15"/>
  <c r="Q43" i="15"/>
  <c r="P43" i="15"/>
  <c r="G43" i="15"/>
  <c r="F43" i="15"/>
  <c r="Q42" i="15"/>
  <c r="P42" i="15"/>
  <c r="G42" i="15"/>
  <c r="F42" i="15"/>
  <c r="Q41" i="15"/>
  <c r="P41" i="15"/>
  <c r="G41" i="15"/>
  <c r="F41" i="15"/>
  <c r="Q40" i="15"/>
  <c r="P40" i="15"/>
  <c r="G40" i="15"/>
  <c r="F40" i="15"/>
  <c r="Q39" i="15"/>
  <c r="P39" i="15"/>
  <c r="G39" i="15"/>
  <c r="F39" i="15"/>
  <c r="Q38" i="15"/>
  <c r="P38" i="15"/>
  <c r="G38" i="15"/>
  <c r="F38" i="15"/>
  <c r="Q37" i="15"/>
  <c r="P37" i="15"/>
  <c r="G37" i="15"/>
  <c r="F37" i="15"/>
  <c r="B17" i="15" s="1"/>
  <c r="C38" i="4" s="1"/>
  <c r="Q36" i="15"/>
  <c r="P36" i="15"/>
  <c r="J38" i="4" s="1"/>
  <c r="G36" i="15"/>
  <c r="F36" i="15"/>
  <c r="B20" i="15" s="1"/>
  <c r="F38" i="4" s="1"/>
  <c r="S35" i="15"/>
  <c r="R35" i="15"/>
  <c r="I35" i="15"/>
  <c r="H35" i="15"/>
  <c r="S35" i="7"/>
  <c r="R35" i="7"/>
  <c r="I35" i="7"/>
  <c r="H35" i="7"/>
  <c r="Q66" i="7"/>
  <c r="S66" i="7" s="1"/>
  <c r="P66" i="7"/>
  <c r="Q65" i="7"/>
  <c r="R65" i="7" s="1"/>
  <c r="P65" i="7"/>
  <c r="Q64" i="7"/>
  <c r="S64" i="7" s="1"/>
  <c r="P64" i="7"/>
  <c r="Q63" i="7"/>
  <c r="R63" i="7" s="1"/>
  <c r="P63" i="7"/>
  <c r="Q62" i="7"/>
  <c r="S62" i="7" s="1"/>
  <c r="P62" i="7"/>
  <c r="Q61" i="7"/>
  <c r="R61" i="7" s="1"/>
  <c r="P61" i="7"/>
  <c r="Q60" i="7"/>
  <c r="S60" i="7" s="1"/>
  <c r="P60" i="7"/>
  <c r="Q59" i="7"/>
  <c r="R59" i="7" s="1"/>
  <c r="P59" i="7"/>
  <c r="Q58" i="7"/>
  <c r="S58" i="7" s="1"/>
  <c r="P58" i="7"/>
  <c r="Q57" i="7"/>
  <c r="R57" i="7" s="1"/>
  <c r="P57" i="7"/>
  <c r="Q56" i="7"/>
  <c r="S56" i="7" s="1"/>
  <c r="P56" i="7"/>
  <c r="Q55" i="7"/>
  <c r="R55" i="7" s="1"/>
  <c r="P55" i="7"/>
  <c r="Q54" i="7"/>
  <c r="S54" i="7" s="1"/>
  <c r="P54" i="7"/>
  <c r="Q53" i="7"/>
  <c r="R53" i="7" s="1"/>
  <c r="P53" i="7"/>
  <c r="Q52" i="7"/>
  <c r="S52" i="7" s="1"/>
  <c r="P52" i="7"/>
  <c r="Q51" i="7"/>
  <c r="R51" i="7" s="1"/>
  <c r="P51" i="7"/>
  <c r="Q50" i="7"/>
  <c r="S50" i="7" s="1"/>
  <c r="P50" i="7"/>
  <c r="Q49" i="7"/>
  <c r="R49" i="7" s="1"/>
  <c r="P49" i="7"/>
  <c r="Q48" i="7"/>
  <c r="S48" i="7" s="1"/>
  <c r="P48" i="7"/>
  <c r="Q47" i="7"/>
  <c r="R47" i="7" s="1"/>
  <c r="P47" i="7"/>
  <c r="Q46" i="7"/>
  <c r="S46" i="7" s="1"/>
  <c r="P46" i="7"/>
  <c r="Q45" i="7"/>
  <c r="R45" i="7" s="1"/>
  <c r="P45" i="7"/>
  <c r="Q44" i="7"/>
  <c r="S44" i="7" s="1"/>
  <c r="P44" i="7"/>
  <c r="Q43" i="7"/>
  <c r="R43" i="7" s="1"/>
  <c r="P43" i="7"/>
  <c r="Q42" i="7"/>
  <c r="P42" i="7"/>
  <c r="Q41" i="7"/>
  <c r="P41" i="7"/>
  <c r="Q40" i="7"/>
  <c r="P40" i="7"/>
  <c r="Q39" i="7"/>
  <c r="P39" i="7"/>
  <c r="Q38" i="7"/>
  <c r="P38" i="7"/>
  <c r="Q37" i="7"/>
  <c r="P37" i="7"/>
  <c r="Q36" i="7"/>
  <c r="S36" i="7" s="1"/>
  <c r="B17" i="16" l="1"/>
  <c r="C39" i="4" s="1"/>
  <c r="J39" i="4"/>
  <c r="R65" i="17"/>
  <c r="B17" i="17"/>
  <c r="B15" i="17"/>
  <c r="S36" i="17"/>
  <c r="S41" i="16"/>
  <c r="H65" i="15"/>
  <c r="S44" i="16"/>
  <c r="S46" i="16"/>
  <c r="S48" i="16"/>
  <c r="S49" i="16"/>
  <c r="S52" i="16"/>
  <c r="S42" i="16"/>
  <c r="S43" i="16"/>
  <c r="S45" i="16"/>
  <c r="S47" i="16"/>
  <c r="S50" i="16"/>
  <c r="S51" i="16"/>
  <c r="B15" i="16"/>
  <c r="G39" i="4" s="1"/>
  <c r="B15" i="15"/>
  <c r="G38" i="4" s="1"/>
  <c r="I36" i="17"/>
  <c r="I37" i="17" s="1"/>
  <c r="I38" i="17" s="1"/>
  <c r="I39" i="17" s="1"/>
  <c r="I40" i="17" s="1"/>
  <c r="I41" i="17" s="1"/>
  <c r="I42" i="17" s="1"/>
  <c r="I43" i="17" s="1"/>
  <c r="I44" i="17" s="1"/>
  <c r="I45" i="17" s="1"/>
  <c r="I46" i="17" s="1"/>
  <c r="I47" i="17" s="1"/>
  <c r="K48" i="4"/>
  <c r="I41" i="4" s="1"/>
  <c r="H48" i="4"/>
  <c r="C41" i="4"/>
  <c r="F41" i="4"/>
  <c r="I63" i="16"/>
  <c r="I62" i="16"/>
  <c r="S36" i="16"/>
  <c r="S37" i="16"/>
  <c r="S38" i="16"/>
  <c r="S39" i="16"/>
  <c r="S40" i="16"/>
  <c r="I54" i="16"/>
  <c r="S53" i="16"/>
  <c r="S54" i="16"/>
  <c r="S55" i="16"/>
  <c r="S56" i="16"/>
  <c r="S57" i="16"/>
  <c r="S58" i="16"/>
  <c r="S59" i="16"/>
  <c r="S60" i="16"/>
  <c r="S61" i="16"/>
  <c r="S62" i="16"/>
  <c r="S63" i="16"/>
  <c r="S64" i="16"/>
  <c r="S65" i="16"/>
  <c r="S66" i="16"/>
  <c r="S37" i="17"/>
  <c r="S38" i="17" s="1"/>
  <c r="S39" i="17" s="1"/>
  <c r="S40" i="17" s="1"/>
  <c r="S41" i="17"/>
  <c r="S42" i="17"/>
  <c r="S44" i="17"/>
  <c r="S46" i="17"/>
  <c r="S48" i="17"/>
  <c r="S49" i="17"/>
  <c r="S51" i="17"/>
  <c r="S52" i="17"/>
  <c r="S53" i="17"/>
  <c r="S54" i="17"/>
  <c r="S55" i="17"/>
  <c r="S56" i="17"/>
  <c r="S57" i="17"/>
  <c r="S58" i="17"/>
  <c r="S59" i="17"/>
  <c r="S60" i="17"/>
  <c r="S61" i="17"/>
  <c r="S62" i="17"/>
  <c r="S43" i="17"/>
  <c r="S45" i="17"/>
  <c r="S47" i="17"/>
  <c r="S50" i="17"/>
  <c r="H65" i="17"/>
  <c r="S64" i="17"/>
  <c r="S65" i="17"/>
  <c r="S66" i="17"/>
  <c r="I62" i="17"/>
  <c r="I54" i="17"/>
  <c r="S60" i="15"/>
  <c r="S63" i="15"/>
  <c r="S59" i="15"/>
  <c r="S61" i="15"/>
  <c r="S62" i="15"/>
  <c r="I54" i="15"/>
  <c r="I52" i="15"/>
  <c r="I36" i="15"/>
  <c r="I37" i="15" s="1"/>
  <c r="I38" i="15" s="1"/>
  <c r="I39" i="15" s="1"/>
  <c r="I40" i="15" s="1"/>
  <c r="I41" i="15" s="1"/>
  <c r="I42" i="15" s="1"/>
  <c r="I43" i="15" s="1"/>
  <c r="I44" i="15" s="1"/>
  <c r="I45" i="15" s="1"/>
  <c r="I46" i="15" s="1"/>
  <c r="I47" i="15" s="1"/>
  <c r="I48" i="15" s="1"/>
  <c r="I49" i="15" s="1"/>
  <c r="I50" i="15" s="1"/>
  <c r="I51" i="15" s="1"/>
  <c r="I65" i="17"/>
  <c r="R65" i="16"/>
  <c r="H58" i="16"/>
  <c r="H48" i="17"/>
  <c r="I50" i="17"/>
  <c r="H56" i="17"/>
  <c r="I58" i="17"/>
  <c r="H64" i="17"/>
  <c r="I66" i="17"/>
  <c r="H52" i="17"/>
  <c r="H60" i="17"/>
  <c r="I48" i="17"/>
  <c r="I56" i="17"/>
  <c r="I64" i="17"/>
  <c r="I52" i="17"/>
  <c r="I60" i="17"/>
  <c r="H52" i="16"/>
  <c r="I36" i="16"/>
  <c r="I37" i="16" s="1"/>
  <c r="I38" i="16" s="1"/>
  <c r="I39" i="16" s="1"/>
  <c r="I40" i="16" s="1"/>
  <c r="I41" i="16" s="1"/>
  <c r="I42" i="16" s="1"/>
  <c r="I43" i="16" s="1"/>
  <c r="I44" i="16" s="1"/>
  <c r="I45" i="16" s="1"/>
  <c r="I46" i="16" s="1"/>
  <c r="I47" i="16" s="1"/>
  <c r="I48" i="16" s="1"/>
  <c r="I49" i="16" s="1"/>
  <c r="I50" i="16" s="1"/>
  <c r="I51" i="16" s="1"/>
  <c r="H54" i="16"/>
  <c r="H55" i="16"/>
  <c r="I56" i="16"/>
  <c r="H62" i="16"/>
  <c r="H63" i="16"/>
  <c r="I64" i="16"/>
  <c r="H60" i="16"/>
  <c r="H56" i="16"/>
  <c r="H57" i="16"/>
  <c r="I58" i="16"/>
  <c r="H64" i="16"/>
  <c r="I65" i="16"/>
  <c r="I66" i="16"/>
  <c r="H53" i="16"/>
  <c r="H61" i="16"/>
  <c r="I52" i="16"/>
  <c r="H59" i="16"/>
  <c r="I60" i="16"/>
  <c r="H50" i="17"/>
  <c r="H54" i="17"/>
  <c r="H58" i="17"/>
  <c r="H62" i="17"/>
  <c r="H66" i="17"/>
  <c r="H36" i="17"/>
  <c r="H37" i="17" s="1"/>
  <c r="H38" i="17" s="1"/>
  <c r="H66" i="16"/>
  <c r="H36" i="16"/>
  <c r="H37" i="16" s="1"/>
  <c r="H38" i="16" s="1"/>
  <c r="I65" i="15"/>
  <c r="S55" i="15"/>
  <c r="I56" i="15"/>
  <c r="I58" i="15"/>
  <c r="S64" i="15"/>
  <c r="S65" i="15"/>
  <c r="S66" i="15"/>
  <c r="S54" i="15"/>
  <c r="I60" i="15"/>
  <c r="I62" i="15"/>
  <c r="S36" i="15"/>
  <c r="S37" i="15" s="1"/>
  <c r="S38" i="15" s="1"/>
  <c r="S39" i="15" s="1"/>
  <c r="S40" i="15" s="1"/>
  <c r="S41" i="15" s="1"/>
  <c r="S42" i="15" s="1"/>
  <c r="S43" i="15" s="1"/>
  <c r="S44" i="15" s="1"/>
  <c r="S45" i="15" s="1"/>
  <c r="S46" i="15" s="1"/>
  <c r="S47" i="15" s="1"/>
  <c r="S48" i="15" s="1"/>
  <c r="S49" i="15" s="1"/>
  <c r="S50" i="15" s="1"/>
  <c r="S51" i="15" s="1"/>
  <c r="S52" i="15" s="1"/>
  <c r="S53" i="15" s="1"/>
  <c r="S56" i="15"/>
  <c r="S57" i="15"/>
  <c r="S58" i="15"/>
  <c r="I64" i="15"/>
  <c r="I66" i="15"/>
  <c r="H58" i="15"/>
  <c r="H62" i="15"/>
  <c r="H54" i="15"/>
  <c r="H36" i="15"/>
  <c r="R65" i="15"/>
  <c r="H52" i="15"/>
  <c r="H56" i="15"/>
  <c r="H60" i="15"/>
  <c r="H64" i="15"/>
  <c r="S37" i="7"/>
  <c r="S38" i="7" s="1"/>
  <c r="S39" i="7" s="1"/>
  <c r="S40" i="7" s="1"/>
  <c r="S41" i="7" s="1"/>
  <c r="S42" i="7" s="1"/>
  <c r="R36" i="17"/>
  <c r="R37" i="17" s="1"/>
  <c r="R38" i="17" s="1"/>
  <c r="R39" i="17" s="1"/>
  <c r="R40" i="17" s="1"/>
  <c r="R42" i="17"/>
  <c r="R44" i="17"/>
  <c r="R46" i="17"/>
  <c r="R48" i="17"/>
  <c r="R50" i="17"/>
  <c r="R52" i="17"/>
  <c r="R54" i="17"/>
  <c r="R56" i="17"/>
  <c r="R58" i="17"/>
  <c r="R60" i="17"/>
  <c r="R62" i="17"/>
  <c r="R64" i="17"/>
  <c r="R66" i="17"/>
  <c r="H49" i="17"/>
  <c r="H51" i="17"/>
  <c r="H53" i="17"/>
  <c r="H55" i="17"/>
  <c r="H57" i="17"/>
  <c r="H59" i="17"/>
  <c r="H61" i="17"/>
  <c r="H63" i="17"/>
  <c r="R41" i="17"/>
  <c r="R43" i="17"/>
  <c r="R45" i="17"/>
  <c r="R47" i="17"/>
  <c r="I49" i="17"/>
  <c r="R49" i="17"/>
  <c r="I51" i="17"/>
  <c r="R51" i="17"/>
  <c r="I53" i="17"/>
  <c r="R53" i="17"/>
  <c r="I55" i="17"/>
  <c r="R55" i="17"/>
  <c r="I57" i="17"/>
  <c r="R57" i="17"/>
  <c r="I59" i="17"/>
  <c r="R59" i="17"/>
  <c r="I61" i="17"/>
  <c r="R61" i="17"/>
  <c r="I63" i="17"/>
  <c r="R63" i="17"/>
  <c r="R36" i="16"/>
  <c r="R38" i="16"/>
  <c r="R40" i="16"/>
  <c r="R42" i="16"/>
  <c r="R44" i="16"/>
  <c r="R46" i="16"/>
  <c r="R48" i="16"/>
  <c r="R50" i="16"/>
  <c r="R52" i="16"/>
  <c r="R54" i="16"/>
  <c r="R56" i="16"/>
  <c r="R58" i="16"/>
  <c r="R60" i="16"/>
  <c r="R62" i="16"/>
  <c r="R64" i="16"/>
  <c r="R66" i="16"/>
  <c r="H65" i="16"/>
  <c r="R37" i="16"/>
  <c r="R39" i="16"/>
  <c r="R41" i="16"/>
  <c r="R43" i="16"/>
  <c r="R45" i="16"/>
  <c r="R47" i="16"/>
  <c r="R49" i="16"/>
  <c r="R51" i="16"/>
  <c r="I53" i="16"/>
  <c r="R53" i="16"/>
  <c r="I55" i="16"/>
  <c r="R55" i="16"/>
  <c r="I57" i="16"/>
  <c r="R57" i="16"/>
  <c r="I59" i="16"/>
  <c r="R59" i="16"/>
  <c r="I61" i="16"/>
  <c r="R61" i="16"/>
  <c r="R63" i="16"/>
  <c r="H66" i="15"/>
  <c r="R36" i="15"/>
  <c r="R37" i="15" s="1"/>
  <c r="R38" i="15" s="1"/>
  <c r="R39" i="15" s="1"/>
  <c r="R40" i="15" s="1"/>
  <c r="R41" i="15" s="1"/>
  <c r="R42" i="15" s="1"/>
  <c r="R43" i="15" s="1"/>
  <c r="R44" i="15" s="1"/>
  <c r="R45" i="15" s="1"/>
  <c r="R46" i="15" s="1"/>
  <c r="R47" i="15" s="1"/>
  <c r="R48" i="15" s="1"/>
  <c r="R49" i="15" s="1"/>
  <c r="R50" i="15" s="1"/>
  <c r="R51" i="15" s="1"/>
  <c r="R52" i="15" s="1"/>
  <c r="R53" i="15" s="1"/>
  <c r="R54" i="15"/>
  <c r="R56" i="15"/>
  <c r="R58" i="15"/>
  <c r="R60" i="15"/>
  <c r="R62" i="15"/>
  <c r="R64" i="15"/>
  <c r="R66" i="15"/>
  <c r="H53" i="15"/>
  <c r="H55" i="15"/>
  <c r="H57" i="15"/>
  <c r="H59" i="15"/>
  <c r="H61" i="15"/>
  <c r="H63" i="15"/>
  <c r="I53" i="15"/>
  <c r="I55" i="15"/>
  <c r="R55" i="15"/>
  <c r="I57" i="15"/>
  <c r="R57" i="15"/>
  <c r="I59" i="15"/>
  <c r="R59" i="15"/>
  <c r="I61" i="15"/>
  <c r="R61" i="15"/>
  <c r="I63" i="15"/>
  <c r="R63" i="15"/>
  <c r="R36" i="7"/>
  <c r="R37" i="7" s="1"/>
  <c r="R38" i="7" s="1"/>
  <c r="R39" i="7" s="1"/>
  <c r="R40" i="7" s="1"/>
  <c r="R41" i="7" s="1"/>
  <c r="R42" i="7" s="1"/>
  <c r="S43" i="7"/>
  <c r="R66" i="7"/>
  <c r="R64" i="7"/>
  <c r="R62" i="7"/>
  <c r="R60" i="7"/>
  <c r="R58" i="7"/>
  <c r="R56" i="7"/>
  <c r="R54" i="7"/>
  <c r="R52" i="7"/>
  <c r="R50" i="7"/>
  <c r="R48" i="7"/>
  <c r="R46" i="7"/>
  <c r="R44" i="7"/>
  <c r="S65" i="7"/>
  <c r="S63" i="7"/>
  <c r="S61" i="7"/>
  <c r="S59" i="7"/>
  <c r="S57" i="7"/>
  <c r="S55" i="7"/>
  <c r="S53" i="7"/>
  <c r="S51" i="7"/>
  <c r="S49" i="7"/>
  <c r="S47" i="7"/>
  <c r="S45" i="7"/>
  <c r="G36" i="7"/>
  <c r="I36" i="7" s="1"/>
  <c r="G41" i="4" l="1"/>
  <c r="K41" i="4" s="1"/>
  <c r="T36" i="17"/>
  <c r="T38" i="17"/>
  <c r="T66" i="17"/>
  <c r="T65" i="17"/>
  <c r="T62" i="16"/>
  <c r="T54" i="16"/>
  <c r="T46" i="16"/>
  <c r="T58" i="17"/>
  <c r="T50" i="17"/>
  <c r="T42" i="17"/>
  <c r="J36" i="15"/>
  <c r="T36" i="16"/>
  <c r="T66" i="16"/>
  <c r="T65" i="16"/>
  <c r="T64" i="17"/>
  <c r="T56" i="17"/>
  <c r="T48" i="17"/>
  <c r="J36" i="17"/>
  <c r="J66" i="17"/>
  <c r="J63" i="16"/>
  <c r="H37" i="15"/>
  <c r="J37" i="15" s="1"/>
  <c r="T58" i="16"/>
  <c r="T50" i="16"/>
  <c r="T42" i="16"/>
  <c r="T40" i="16"/>
  <c r="J65" i="17"/>
  <c r="T58" i="15"/>
  <c r="T50" i="15"/>
  <c r="T42" i="15"/>
  <c r="T38" i="16"/>
  <c r="J37" i="16"/>
  <c r="J61" i="17"/>
  <c r="J53" i="17"/>
  <c r="T57" i="17"/>
  <c r="T49" i="17"/>
  <c r="T41" i="17"/>
  <c r="J54" i="16"/>
  <c r="T60" i="17"/>
  <c r="T52" i="17"/>
  <c r="T44" i="17"/>
  <c r="T36" i="15"/>
  <c r="J60" i="17"/>
  <c r="J55" i="17"/>
  <c r="J52" i="17"/>
  <c r="J63" i="17"/>
  <c r="J50" i="17"/>
  <c r="J64" i="16"/>
  <c r="J57" i="16"/>
  <c r="J62" i="16"/>
  <c r="J60" i="16"/>
  <c r="J55" i="16"/>
  <c r="J66" i="16"/>
  <c r="J65" i="15"/>
  <c r="J66" i="15"/>
  <c r="T62" i="17"/>
  <c r="T54" i="17"/>
  <c r="T46" i="17"/>
  <c r="J37" i="17"/>
  <c r="J59" i="17"/>
  <c r="J51" i="17"/>
  <c r="J57" i="17"/>
  <c r="J49" i="17"/>
  <c r="J59" i="16"/>
  <c r="T57" i="16"/>
  <c r="T49" i="16"/>
  <c r="T41" i="16"/>
  <c r="T60" i="16"/>
  <c r="T52" i="16"/>
  <c r="T44" i="16"/>
  <c r="J36" i="16"/>
  <c r="J61" i="15"/>
  <c r="T64" i="15"/>
  <c r="T56" i="15"/>
  <c r="T48" i="15"/>
  <c r="J63" i="15"/>
  <c r="J55" i="15"/>
  <c r="T62" i="15"/>
  <c r="T54" i="15"/>
  <c r="T46" i="15"/>
  <c r="J57" i="15"/>
  <c r="J53" i="15"/>
  <c r="T66" i="15"/>
  <c r="T60" i="15"/>
  <c r="T52" i="15"/>
  <c r="T44" i="15"/>
  <c r="T38" i="15"/>
  <c r="J60" i="15"/>
  <c r="T65" i="15"/>
  <c r="T57" i="15"/>
  <c r="T49" i="15"/>
  <c r="T41" i="15"/>
  <c r="T36" i="7"/>
  <c r="J58" i="17"/>
  <c r="T63" i="17"/>
  <c r="T55" i="17"/>
  <c r="T47" i="17"/>
  <c r="T39" i="17"/>
  <c r="J64" i="17"/>
  <c r="J56" i="17"/>
  <c r="T61" i="17"/>
  <c r="T53" i="17"/>
  <c r="T45" i="17"/>
  <c r="T37" i="17"/>
  <c r="H39" i="17"/>
  <c r="J39" i="17" s="1"/>
  <c r="T40" i="17"/>
  <c r="J62" i="17"/>
  <c r="J54" i="17"/>
  <c r="T59" i="17"/>
  <c r="T51" i="17"/>
  <c r="T43" i="17"/>
  <c r="J38" i="17"/>
  <c r="T56" i="16"/>
  <c r="T48" i="16"/>
  <c r="T63" i="16"/>
  <c r="T55" i="16"/>
  <c r="T47" i="16"/>
  <c r="T39" i="16"/>
  <c r="J61" i="16"/>
  <c r="J53" i="16"/>
  <c r="H39" i="16"/>
  <c r="J39" i="16" s="1"/>
  <c r="J56" i="16"/>
  <c r="T64" i="16"/>
  <c r="T61" i="16"/>
  <c r="T53" i="16"/>
  <c r="T45" i="16"/>
  <c r="T37" i="16"/>
  <c r="J58" i="16"/>
  <c r="J38" i="16"/>
  <c r="T59" i="16"/>
  <c r="T51" i="16"/>
  <c r="T43" i="16"/>
  <c r="J65" i="16"/>
  <c r="J59" i="15"/>
  <c r="J58" i="15"/>
  <c r="T63" i="15"/>
  <c r="T55" i="15"/>
  <c r="T47" i="15"/>
  <c r="T39" i="15"/>
  <c r="J64" i="15"/>
  <c r="J56" i="15"/>
  <c r="T61" i="15"/>
  <c r="T53" i="15"/>
  <c r="T45" i="15"/>
  <c r="T37" i="15"/>
  <c r="T40" i="15"/>
  <c r="J62" i="15"/>
  <c r="J54" i="15"/>
  <c r="T59" i="15"/>
  <c r="T51" i="15"/>
  <c r="T43" i="15"/>
  <c r="T46" i="7"/>
  <c r="T57" i="7"/>
  <c r="T59" i="7"/>
  <c r="T50" i="7"/>
  <c r="T53" i="7"/>
  <c r="T49" i="7"/>
  <c r="T64" i="7"/>
  <c r="T62" i="7"/>
  <c r="T58" i="7"/>
  <c r="T47" i="7"/>
  <c r="T37" i="7"/>
  <c r="T66" i="7"/>
  <c r="T51" i="7"/>
  <c r="T60" i="7"/>
  <c r="T56" i="7"/>
  <c r="T63" i="7"/>
  <c r="T48" i="7"/>
  <c r="T61" i="7"/>
  <c r="T45" i="7"/>
  <c r="T55" i="7"/>
  <c r="T54" i="7"/>
  <c r="T52" i="7"/>
  <c r="T44" i="7"/>
  <c r="T65" i="7"/>
  <c r="T40" i="7"/>
  <c r="T38" i="7"/>
  <c r="T39" i="7"/>
  <c r="H36" i="7"/>
  <c r="G37" i="7"/>
  <c r="I37" i="7" s="1"/>
  <c r="B4" i="17" l="1"/>
  <c r="H38" i="15"/>
  <c r="J38" i="15" s="1"/>
  <c r="H40" i="17"/>
  <c r="H40" i="16"/>
  <c r="J40" i="16" s="1"/>
  <c r="T41" i="7"/>
  <c r="H37" i="7"/>
  <c r="G38" i="7"/>
  <c r="I38" i="7" s="1"/>
  <c r="H39" i="15" l="1"/>
  <c r="J39" i="15" s="1"/>
  <c r="H41" i="17"/>
  <c r="J41" i="17" s="1"/>
  <c r="J40" i="17"/>
  <c r="H41" i="16"/>
  <c r="J41" i="16" s="1"/>
  <c r="T43" i="7"/>
  <c r="H38" i="7"/>
  <c r="G39" i="7"/>
  <c r="I39" i="7" s="1"/>
  <c r="H40" i="15" l="1"/>
  <c r="J40" i="15" s="1"/>
  <c r="H42" i="17"/>
  <c r="H42" i="16"/>
  <c r="T42" i="7"/>
  <c r="H39" i="7"/>
  <c r="G40" i="7"/>
  <c r="H41" i="15" l="1"/>
  <c r="J41" i="15" s="1"/>
  <c r="H43" i="17"/>
  <c r="H43" i="16"/>
  <c r="J42" i="17"/>
  <c r="J42" i="16"/>
  <c r="H40" i="7"/>
  <c r="I40" i="7"/>
  <c r="G41" i="7"/>
  <c r="H42" i="15" l="1"/>
  <c r="H43" i="15" s="1"/>
  <c r="H44" i="17"/>
  <c r="J44" i="17" s="1"/>
  <c r="J43" i="17"/>
  <c r="H44" i="16"/>
  <c r="J44" i="16" s="1"/>
  <c r="J43" i="16"/>
  <c r="I41" i="7"/>
  <c r="H41" i="7"/>
  <c r="G42" i="7"/>
  <c r="J42" i="15" l="1"/>
  <c r="H45" i="17"/>
  <c r="H45" i="16"/>
  <c r="J45" i="16" s="1"/>
  <c r="H44" i="15"/>
  <c r="J44" i="15" s="1"/>
  <c r="J43" i="15"/>
  <c r="I42" i="7"/>
  <c r="H42" i="7"/>
  <c r="G43" i="7"/>
  <c r="H46" i="17" l="1"/>
  <c r="J46" i="17" s="1"/>
  <c r="J45" i="17"/>
  <c r="H46" i="16"/>
  <c r="J46" i="16" s="1"/>
  <c r="H45" i="15"/>
  <c r="I43" i="7"/>
  <c r="H43" i="7"/>
  <c r="G44" i="7"/>
  <c r="H47" i="17" l="1"/>
  <c r="J48" i="17" s="1"/>
  <c r="H47" i="16"/>
  <c r="J47" i="16" s="1"/>
  <c r="H46" i="15"/>
  <c r="J46" i="15" s="1"/>
  <c r="J45" i="15"/>
  <c r="I44" i="7"/>
  <c r="H44" i="7"/>
  <c r="G45" i="7"/>
  <c r="J47" i="17" l="1"/>
  <c r="C28" i="4"/>
  <c r="H48" i="16"/>
  <c r="H47" i="15"/>
  <c r="H45" i="7"/>
  <c r="I45" i="7"/>
  <c r="G46" i="7"/>
  <c r="B2" i="17" l="1"/>
  <c r="B3" i="17" s="1"/>
  <c r="I40" i="4" s="1"/>
  <c r="H49" i="16"/>
  <c r="J48" i="16"/>
  <c r="H48" i="15"/>
  <c r="J47" i="15"/>
  <c r="H46" i="7"/>
  <c r="I46" i="7"/>
  <c r="G47" i="7"/>
  <c r="B28" i="4" l="1"/>
  <c r="F28" i="4" s="1"/>
  <c r="B7" i="17"/>
  <c r="H40" i="4" s="1"/>
  <c r="K40" i="4" s="1"/>
  <c r="H50" i="16"/>
  <c r="J50" i="16" s="1"/>
  <c r="J49" i="16"/>
  <c r="H49" i="15"/>
  <c r="J49" i="15" s="1"/>
  <c r="J48" i="15"/>
  <c r="I47" i="7"/>
  <c r="H47" i="7"/>
  <c r="G48" i="7"/>
  <c r="D94" i="18" l="1"/>
  <c r="E12" i="4" s="1"/>
  <c r="H51" i="16"/>
  <c r="J52" i="16" s="1"/>
  <c r="H50" i="15"/>
  <c r="J50" i="15" s="1"/>
  <c r="I48" i="7"/>
  <c r="H48" i="7"/>
  <c r="G49" i="7"/>
  <c r="J51" i="16" l="1"/>
  <c r="B2" i="16" s="1"/>
  <c r="B3" i="16" s="1"/>
  <c r="H51" i="15"/>
  <c r="J52" i="15" s="1"/>
  <c r="I49" i="7"/>
  <c r="H49" i="7"/>
  <c r="G50" i="7"/>
  <c r="B27" i="4" l="1"/>
  <c r="B4" i="16"/>
  <c r="I39" i="4"/>
  <c r="J51" i="15"/>
  <c r="B2" i="15" s="1"/>
  <c r="H50" i="7"/>
  <c r="I50" i="7"/>
  <c r="G51" i="7"/>
  <c r="B7" i="16" l="1"/>
  <c r="H39" i="4" s="1"/>
  <c r="K39" i="4" s="1"/>
  <c r="B3" i="15"/>
  <c r="I38" i="4" s="1"/>
  <c r="C27" i="4"/>
  <c r="F27" i="4" s="1"/>
  <c r="B26" i="4"/>
  <c r="I51" i="7"/>
  <c r="H51" i="7"/>
  <c r="G52" i="7"/>
  <c r="I52" i="7" l="1"/>
  <c r="H52" i="7"/>
  <c r="G53" i="7"/>
  <c r="I53" i="7" l="1"/>
  <c r="H53" i="7"/>
  <c r="G54" i="7"/>
  <c r="H54" i="7" l="1"/>
  <c r="I54" i="7"/>
  <c r="G55" i="7"/>
  <c r="I55" i="7" l="1"/>
  <c r="H55" i="7"/>
  <c r="G56" i="7"/>
  <c r="I56" i="7" l="1"/>
  <c r="H56" i="7"/>
  <c r="G57" i="7"/>
  <c r="I57" i="7" l="1"/>
  <c r="H57" i="7"/>
  <c r="G58" i="7"/>
  <c r="I58" i="7" l="1"/>
  <c r="H58" i="7"/>
  <c r="G59" i="7"/>
  <c r="I59" i="7" l="1"/>
  <c r="H59" i="7"/>
  <c r="G60" i="7"/>
  <c r="H60" i="7" l="1"/>
  <c r="I60" i="7"/>
  <c r="G61" i="7"/>
  <c r="C94" i="18" l="1"/>
  <c r="I61" i="7"/>
  <c r="H61" i="7"/>
  <c r="G62" i="7"/>
  <c r="H62" i="7" l="1"/>
  <c r="I62" i="7"/>
  <c r="G63" i="7"/>
  <c r="I63" i="7" l="1"/>
  <c r="H63" i="7"/>
  <c r="G64" i="7"/>
  <c r="I64" i="7" l="1"/>
  <c r="H64" i="7"/>
  <c r="G65" i="7"/>
  <c r="I65" i="7" l="1"/>
  <c r="H65" i="7"/>
  <c r="B15" i="7"/>
  <c r="G37" i="4" s="1"/>
  <c r="G66" i="7"/>
  <c r="H66" i="7" l="1"/>
  <c r="I66" i="7"/>
  <c r="G62" i="11" l="1"/>
  <c r="F62" i="11"/>
  <c r="G61" i="11"/>
  <c r="F61" i="11"/>
  <c r="G60" i="11"/>
  <c r="F60" i="11"/>
  <c r="G59" i="11"/>
  <c r="F59" i="11"/>
  <c r="G58" i="11"/>
  <c r="F58" i="11"/>
  <c r="G57" i="11"/>
  <c r="F57" i="11"/>
  <c r="G56" i="11"/>
  <c r="F56" i="11"/>
  <c r="G55" i="11"/>
  <c r="F55" i="11"/>
  <c r="G54" i="11"/>
  <c r="F54" i="11"/>
  <c r="G53" i="11"/>
  <c r="F53" i="11"/>
  <c r="G52" i="11"/>
  <c r="F52" i="11"/>
  <c r="G51" i="11"/>
  <c r="F51" i="11"/>
  <c r="G50" i="11"/>
  <c r="F50" i="11"/>
  <c r="G49" i="11"/>
  <c r="F49" i="11"/>
  <c r="G48" i="11"/>
  <c r="F48" i="11"/>
  <c r="G47" i="11"/>
  <c r="F47" i="11"/>
  <c r="G46" i="11"/>
  <c r="F46" i="11"/>
  <c r="G45" i="11"/>
  <c r="F45" i="11"/>
  <c r="G44" i="11"/>
  <c r="F44" i="11"/>
  <c r="G43" i="11"/>
  <c r="F43" i="11"/>
  <c r="G42" i="11"/>
  <c r="F42" i="11"/>
  <c r="G41" i="11"/>
  <c r="F41" i="11"/>
  <c r="G40" i="11"/>
  <c r="F40" i="11"/>
  <c r="G39" i="11"/>
  <c r="F39" i="11"/>
  <c r="G38" i="11"/>
  <c r="F38" i="11"/>
  <c r="G37" i="11"/>
  <c r="F37" i="11"/>
  <c r="G36" i="11"/>
  <c r="F36" i="11"/>
  <c r="G35" i="11"/>
  <c r="F35" i="11"/>
  <c r="G34" i="11"/>
  <c r="F34" i="11"/>
  <c r="G33" i="11"/>
  <c r="F33" i="11"/>
  <c r="B10" i="11" l="1"/>
  <c r="H45" i="11"/>
  <c r="H47" i="11"/>
  <c r="H49" i="11"/>
  <c r="H51" i="11"/>
  <c r="H53" i="11"/>
  <c r="H55" i="11"/>
  <c r="H57" i="11"/>
  <c r="H59" i="11"/>
  <c r="H61" i="11"/>
  <c r="H58" i="11"/>
  <c r="H62" i="11"/>
  <c r="H50" i="11"/>
  <c r="H54" i="11"/>
  <c r="H60" i="11"/>
  <c r="H46" i="11"/>
  <c r="H48" i="11"/>
  <c r="H52" i="11"/>
  <c r="H56" i="11"/>
  <c r="I50" i="11"/>
  <c r="I56" i="11"/>
  <c r="I62" i="11"/>
  <c r="I45" i="11"/>
  <c r="I47" i="11"/>
  <c r="I49" i="11"/>
  <c r="I51" i="11"/>
  <c r="I53" i="11"/>
  <c r="I55" i="11"/>
  <c r="I57" i="11"/>
  <c r="I59" i="11"/>
  <c r="I61" i="11"/>
  <c r="I46" i="11"/>
  <c r="I52" i="11"/>
  <c r="I60" i="11"/>
  <c r="I48" i="11"/>
  <c r="I54" i="11"/>
  <c r="I58" i="11"/>
  <c r="H33" i="11"/>
  <c r="G36" i="4" l="1"/>
  <c r="G42" i="4" s="1"/>
  <c r="B11" i="11"/>
  <c r="B36" i="4" s="1"/>
  <c r="B42" i="4" s="1"/>
  <c r="J37" i="4"/>
  <c r="J49" i="11"/>
  <c r="J60" i="11"/>
  <c r="J52" i="11"/>
  <c r="J51" i="11"/>
  <c r="J47" i="11"/>
  <c r="J58" i="11"/>
  <c r="J50" i="11"/>
  <c r="J57" i="11"/>
  <c r="J61" i="11"/>
  <c r="J59" i="11"/>
  <c r="J56" i="11"/>
  <c r="J48" i="11"/>
  <c r="J53" i="11"/>
  <c r="J55" i="11"/>
  <c r="J62" i="11"/>
  <c r="J54" i="11"/>
  <c r="J46" i="11"/>
  <c r="J36" i="7"/>
  <c r="J62" i="7"/>
  <c r="J50" i="7"/>
  <c r="J65" i="7"/>
  <c r="J61" i="7"/>
  <c r="J57" i="7"/>
  <c r="J53" i="7"/>
  <c r="J49" i="7"/>
  <c r="J45" i="7"/>
  <c r="J66" i="7"/>
  <c r="J54" i="7"/>
  <c r="J46" i="7"/>
  <c r="J64" i="7"/>
  <c r="J59" i="7"/>
  <c r="J60" i="7"/>
  <c r="J56" i="7"/>
  <c r="J52" i="7"/>
  <c r="J48" i="7"/>
  <c r="J44" i="7"/>
  <c r="J58" i="7"/>
  <c r="J63" i="7"/>
  <c r="J55" i="7"/>
  <c r="J51" i="7"/>
  <c r="J47" i="7"/>
  <c r="J43" i="7"/>
  <c r="I33" i="11"/>
  <c r="H34" i="11"/>
  <c r="F42" i="4" l="1"/>
  <c r="K36" i="4"/>
  <c r="D42" i="4"/>
  <c r="C42" i="4"/>
  <c r="E42" i="4"/>
  <c r="I34" i="11"/>
  <c r="J37" i="7"/>
  <c r="J33" i="11"/>
  <c r="H35" i="11"/>
  <c r="H49" i="4"/>
  <c r="H50" i="4"/>
  <c r="H51" i="4"/>
  <c r="J42" i="4" l="1"/>
  <c r="F29" i="4"/>
  <c r="I35" i="11"/>
  <c r="J34" i="11"/>
  <c r="J38" i="7"/>
  <c r="H36" i="11"/>
  <c r="H37" i="11" s="1"/>
  <c r="H38" i="11" l="1"/>
  <c r="J35" i="11"/>
  <c r="I36" i="11"/>
  <c r="I37" i="11" s="1"/>
  <c r="I38" i="11" s="1"/>
  <c r="I39" i="11" s="1"/>
  <c r="I40" i="11" s="1"/>
  <c r="I41" i="11" s="1"/>
  <c r="I42" i="11" s="1"/>
  <c r="I43" i="11" s="1"/>
  <c r="I44" i="11" s="1"/>
  <c r="J41" i="7"/>
  <c r="J39" i="7"/>
  <c r="J40" i="7"/>
  <c r="J38" i="11" l="1"/>
  <c r="H39" i="11"/>
  <c r="J39" i="11" s="1"/>
  <c r="J36" i="11"/>
  <c r="J37" i="11"/>
  <c r="J42" i="7"/>
  <c r="B2" i="7" s="1"/>
  <c r="B4" i="15" l="1"/>
  <c r="H40" i="11"/>
  <c r="J40" i="11" s="1"/>
  <c r="K36" i="11"/>
  <c r="K33" i="11"/>
  <c r="K35" i="11"/>
  <c r="C26" i="4" l="1"/>
  <c r="F26" i="4" s="1"/>
  <c r="B7" i="15"/>
  <c r="H38" i="4" s="1"/>
  <c r="K38" i="4" s="1"/>
  <c r="B3" i="7"/>
  <c r="H41" i="11"/>
  <c r="J41" i="11" s="1"/>
  <c r="K34" i="11"/>
  <c r="H42" i="11" l="1"/>
  <c r="J42" i="11" s="1"/>
  <c r="K42" i="11" l="1"/>
  <c r="H43" i="11"/>
  <c r="K41" i="11"/>
  <c r="H44" i="11" l="1"/>
  <c r="J45" i="11" s="1"/>
  <c r="J43" i="11"/>
  <c r="K43" i="11" s="1"/>
  <c r="J44" i="11" l="1"/>
  <c r="B2" i="11" s="1"/>
  <c r="K39" i="11"/>
  <c r="K40" i="11"/>
  <c r="B4" i="7" l="1"/>
  <c r="B3" i="11" s="1"/>
  <c r="B24" i="4"/>
  <c r="K44" i="11"/>
  <c r="K51" i="11" l="1"/>
  <c r="K55" i="11" l="1"/>
  <c r="K59" i="11" l="1"/>
  <c r="K52" i="11" l="1"/>
  <c r="K53" i="11" l="1"/>
  <c r="K54" i="11"/>
  <c r="K45" i="11" l="1"/>
  <c r="K50" i="11" l="1"/>
  <c r="K46" i="11" l="1"/>
  <c r="K60" i="11" l="1"/>
  <c r="K49" i="11" l="1"/>
  <c r="K47" i="11" l="1"/>
  <c r="K48" i="11"/>
  <c r="K56" i="11" l="1"/>
  <c r="K61" i="11" l="1"/>
  <c r="K57" i="11" l="1"/>
  <c r="K58" i="11"/>
  <c r="K62" i="11" l="1"/>
  <c r="K37" i="11"/>
  <c r="K38" i="11"/>
  <c r="B7" i="7" l="1"/>
  <c r="C25" i="4" l="1"/>
  <c r="B25" i="4"/>
  <c r="F24" i="4" s="1"/>
  <c r="H37" i="4"/>
  <c r="I37" i="4"/>
  <c r="I42" i="4" s="1"/>
  <c r="F25" i="4" l="1"/>
  <c r="C30" i="4"/>
  <c r="B30" i="4"/>
  <c r="E10" i="4" s="1"/>
  <c r="H42" i="4"/>
  <c r="K37" i="4"/>
  <c r="K42" i="4" s="1"/>
  <c r="E9" i="4" s="1"/>
  <c r="F30" i="4" l="1"/>
  <c r="E11"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Edge, Chase</author>
  </authors>
  <commentList>
    <comment ref="A6" authorId="0" shapeId="0" xr:uid="{8330B56D-FA79-4246-8AEB-8370E9AE8611}">
      <text>
        <r>
          <rPr>
            <b/>
            <sz val="9"/>
            <color indexed="81"/>
            <rFont val="Tahoma"/>
            <family val="2"/>
          </rPr>
          <t>Edge, Chase:</t>
        </r>
        <r>
          <rPr>
            <sz val="9"/>
            <color indexed="81"/>
            <rFont val="Tahoma"/>
            <family val="2"/>
          </rPr>
          <t xml:space="preserve">
This is an example of a note and an input cell.</t>
        </r>
      </text>
    </comment>
    <comment ref="E15" authorId="0" shapeId="0" xr:uid="{065F8541-5AEC-457B-A494-D1BA1036668C}">
      <text>
        <r>
          <rPr>
            <b/>
            <sz val="9"/>
            <color indexed="81"/>
            <rFont val="Tahoma"/>
            <family val="2"/>
          </rPr>
          <t>Edge, Chase:</t>
        </r>
        <r>
          <rPr>
            <sz val="9"/>
            <color indexed="81"/>
            <rFont val="Tahoma"/>
            <family val="2"/>
          </rPr>
          <t xml:space="preserve">
If "Condioned Crawl" is selected, this tool will automatically include the first floor area into the volume calculation of the crawlspace. You still need to specific the wall height of the foundation wall and the rim joist height for the first floor.
</t>
        </r>
      </text>
    </comment>
    <comment ref="A21" authorId="0" shapeId="0" xr:uid="{8BD76F8E-0972-4822-B2AF-F45A094FB39F}">
      <text>
        <r>
          <rPr>
            <b/>
            <sz val="9"/>
            <color indexed="81"/>
            <rFont val="Tahoma"/>
            <family val="2"/>
          </rPr>
          <t>Edge, Chase:</t>
        </r>
        <r>
          <rPr>
            <sz val="9"/>
            <color indexed="81"/>
            <rFont val="Tahoma"/>
            <family val="2"/>
          </rPr>
          <t xml:space="preserve">
This table only displays the main volumes and areas.
</t>
        </r>
      </text>
    </comment>
    <comment ref="D23" authorId="0" shapeId="0" xr:uid="{4D3326C8-F653-4CCD-82DA-5166E6085A57}">
      <text>
        <r>
          <rPr>
            <b/>
            <sz val="9"/>
            <color indexed="81"/>
            <rFont val="Tahoma"/>
            <family val="2"/>
          </rPr>
          <t>Edge, Chase:</t>
        </r>
        <r>
          <rPr>
            <sz val="9"/>
            <color indexed="81"/>
            <rFont val="Tahoma"/>
            <family val="2"/>
          </rPr>
          <t xml:space="preserve">
Type the wall height for each floor in this coloumn.
</t>
        </r>
      </text>
    </comment>
    <comment ref="E23" authorId="0" shapeId="0" xr:uid="{C6F3E52E-1E34-4E3C-A59E-0FF25C07143D}">
      <text>
        <r>
          <rPr>
            <b/>
            <sz val="9"/>
            <color indexed="81"/>
            <rFont val="Tahoma"/>
            <family val="2"/>
          </rPr>
          <t>Edge, Chase:</t>
        </r>
        <r>
          <rPr>
            <sz val="9"/>
            <color indexed="81"/>
            <rFont val="Tahoma"/>
            <family val="2"/>
          </rPr>
          <t xml:space="preserve">
Type the rim joist height for each floor in this column.
</t>
        </r>
      </text>
    </comment>
    <comment ref="A33" authorId="0" shapeId="0" xr:uid="{61BA1103-AE6F-447C-8928-C8B5080A1977}">
      <text>
        <r>
          <rPr>
            <b/>
            <sz val="9"/>
            <color indexed="81"/>
            <rFont val="Tahoma"/>
            <family val="2"/>
          </rPr>
          <t>Edge, Chase:</t>
        </r>
        <r>
          <rPr>
            <sz val="9"/>
            <color indexed="81"/>
            <rFont val="Tahoma"/>
            <family val="2"/>
          </rPr>
          <t xml:space="preserve">
This table contains all of the shell areas of the house.
</t>
        </r>
      </text>
    </comment>
    <comment ref="B34" authorId="0" shapeId="0" xr:uid="{3592BEE8-113E-4B7E-830F-DC0C22067CE6}">
      <text>
        <r>
          <rPr>
            <b/>
            <sz val="9"/>
            <color indexed="81"/>
            <rFont val="Tahoma"/>
            <family val="2"/>
          </rPr>
          <t>Edge, Chase:</t>
        </r>
        <r>
          <rPr>
            <sz val="9"/>
            <color indexed="81"/>
            <rFont val="Tahoma"/>
            <family val="2"/>
          </rPr>
          <t xml:space="preserve">
Here you can label the types of walls using the dropdowns.
</t>
        </r>
      </text>
    </comment>
    <comment ref="A45" authorId="0" shapeId="0" xr:uid="{AC4EE41F-C571-4CFD-9EF3-6949BEAAE7B6}">
      <text>
        <r>
          <rPr>
            <b/>
            <sz val="9"/>
            <color indexed="81"/>
            <rFont val="Tahoma"/>
            <family val="2"/>
          </rPr>
          <t>Edge, Chase:
This table is used to add or remove volumes for vaults or raised. ceilings.</t>
        </r>
      </text>
    </comment>
    <comment ref="L46" authorId="0" shapeId="0" xr:uid="{34827750-D7CE-44C0-A233-A452E51C15FA}">
      <text>
        <r>
          <rPr>
            <b/>
            <sz val="9"/>
            <color indexed="81"/>
            <rFont val="Tahoma"/>
            <family val="2"/>
          </rPr>
          <t>Edge, Chase:</t>
        </r>
        <r>
          <rPr>
            <sz val="9"/>
            <color indexed="81"/>
            <rFont val="Tahoma"/>
            <family val="2"/>
          </rPr>
          <t xml:space="preserve">
Percentage of wall surface area to add or subtract.
</t>
        </r>
      </text>
    </comment>
    <comment ref="B47" authorId="0" shapeId="0" xr:uid="{365CD3C3-23EE-41F5-90F4-5586E70AACDF}">
      <text>
        <r>
          <rPr>
            <b/>
            <sz val="9"/>
            <color indexed="81"/>
            <rFont val="Tahoma"/>
            <family val="2"/>
          </rPr>
          <t>Edge, Chase:</t>
        </r>
        <r>
          <rPr>
            <sz val="9"/>
            <color indexed="81"/>
            <rFont val="Tahoma"/>
            <family val="2"/>
          </rPr>
          <t xml:space="preserve">
Describe the shape of the vertical plane, vaults are triangular or trapazoidal and raised ceilings are rectangluar.</t>
        </r>
      </text>
    </comment>
    <comment ref="K47" authorId="0" shapeId="0" xr:uid="{EEC1B03C-603D-44E3-92A6-0B15EB1772A5}">
      <text>
        <r>
          <rPr>
            <b/>
            <sz val="9"/>
            <color indexed="81"/>
            <rFont val="Tahoma"/>
            <family val="2"/>
          </rPr>
          <t>Edge, Chase:</t>
        </r>
        <r>
          <rPr>
            <sz val="9"/>
            <color indexed="81"/>
            <rFont val="Tahoma"/>
            <family val="2"/>
          </rPr>
          <t xml:space="preserve">
Total added volume to the house.</t>
        </r>
      </text>
    </comment>
    <comment ref="O47" authorId="0" shapeId="0" xr:uid="{3658F479-27EE-451F-B88F-6CBA634B9047}">
      <text>
        <r>
          <rPr>
            <b/>
            <sz val="9"/>
            <color indexed="81"/>
            <rFont val="Tahoma"/>
            <family val="2"/>
          </rPr>
          <t>Edge, Chase:</t>
        </r>
        <r>
          <rPr>
            <sz val="9"/>
            <color indexed="81"/>
            <rFont val="Tahoma"/>
            <family val="2"/>
          </rPr>
          <t xml:space="preserve">
Both kneewall and main wall columns show the added or subtracted areas to the total wall area of the house.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Edge, Chase</author>
  </authors>
  <commentList>
    <comment ref="A2" authorId="0" shapeId="0" xr:uid="{800DDC83-78AF-4266-8EC1-CDFEAE9326B1}">
      <text>
        <r>
          <rPr>
            <b/>
            <sz val="9"/>
            <color indexed="81"/>
            <rFont val="Tahoma"/>
            <family val="2"/>
          </rPr>
          <t>Edge, Chase:</t>
        </r>
        <r>
          <rPr>
            <sz val="9"/>
            <color indexed="81"/>
            <rFont val="Tahoma"/>
            <family val="2"/>
          </rPr>
          <t xml:space="preserve">
The column is a concatinatation of the window count and dimensions. For example, type12046 for a 1 - 2'0"x4'6" window. This process does not allow double digit numbers. To calculate a window such as 1'10"x2'0", fill out the columns to the right manually.
</t>
        </r>
      </text>
    </comment>
    <comment ref="B2" authorId="0" shapeId="0" xr:uid="{E9B6D843-14C9-4392-9D88-1140EF37E16B}">
      <text>
        <r>
          <rPr>
            <b/>
            <sz val="9"/>
            <color indexed="81"/>
            <rFont val="Tahoma"/>
            <family val="2"/>
          </rPr>
          <t>Edge, Chase:</t>
        </r>
        <r>
          <rPr>
            <sz val="9"/>
            <color indexed="81"/>
            <rFont val="Tahoma"/>
            <family val="2"/>
          </rPr>
          <t xml:space="preserve">
If the window is an option, select "OPT" in the dropdown to temporaily remove it from the calculation.</t>
        </r>
      </text>
    </comment>
    <comment ref="C2" authorId="0" shapeId="0" xr:uid="{33E25977-17CE-4B16-A9DA-7896455C16AE}">
      <text>
        <r>
          <rPr>
            <b/>
            <sz val="9"/>
            <color indexed="81"/>
            <rFont val="Tahoma"/>
            <family val="2"/>
          </rPr>
          <t>Edge, Chase:</t>
        </r>
        <r>
          <rPr>
            <sz val="9"/>
            <color indexed="81"/>
            <rFont val="Tahoma"/>
            <family val="2"/>
          </rPr>
          <t xml:space="preserve">
Select the side of the house the window is located.</t>
        </r>
      </text>
    </comment>
    <comment ref="D2" authorId="0" shapeId="0" xr:uid="{35C7CF21-C544-4C70-8841-FEC2C589DD72}">
      <text>
        <r>
          <rPr>
            <b/>
            <sz val="9"/>
            <color indexed="81"/>
            <rFont val="Tahoma"/>
            <family val="2"/>
          </rPr>
          <t>Edge, Chase:</t>
        </r>
        <r>
          <rPr>
            <sz val="9"/>
            <color indexed="81"/>
            <rFont val="Tahoma"/>
            <family val="2"/>
          </rPr>
          <t xml:space="preserve">
Select the type or floor of the window
 </t>
        </r>
      </text>
    </comment>
    <comment ref="A35" authorId="0" shapeId="0" xr:uid="{2D63924E-F85A-4891-9F04-16ADFC3C88E3}">
      <text>
        <r>
          <rPr>
            <b/>
            <sz val="9"/>
            <color indexed="81"/>
            <rFont val="Tahoma"/>
            <family val="2"/>
          </rPr>
          <t>Edge, Chase:</t>
        </r>
        <r>
          <rPr>
            <sz val="9"/>
            <color indexed="81"/>
            <rFont val="Tahoma"/>
            <family val="2"/>
          </rPr>
          <t xml:space="preserve">
After the table above is filled out, this table summarized the window calcuations. Use the filters next to the columns titles to make the summary more clear.</t>
        </r>
      </text>
    </comment>
    <comment ref="C36" authorId="0" shapeId="0" xr:uid="{51D3C99B-D784-4A8B-8307-D8BB0A128B76}">
      <text>
        <r>
          <rPr>
            <b/>
            <sz val="9"/>
            <color indexed="81"/>
            <rFont val="Tahoma"/>
            <family val="2"/>
          </rPr>
          <t>Edge, Chase:</t>
        </r>
        <r>
          <rPr>
            <sz val="9"/>
            <color indexed="81"/>
            <rFont val="Tahoma"/>
            <family val="2"/>
          </rPr>
          <t xml:space="preserve">
Select "Yes" to flip the left and right windows in the summary.
</t>
        </r>
      </text>
    </comment>
    <comment ref="A37" authorId="0" shapeId="0" xr:uid="{FA747119-360E-40E7-A43A-2B570BCD88CD}">
      <text>
        <r>
          <rPr>
            <b/>
            <sz val="9"/>
            <color indexed="81"/>
            <rFont val="Tahoma"/>
            <family val="2"/>
          </rPr>
          <t>Edge, Chase:</t>
        </r>
        <r>
          <rPr>
            <sz val="9"/>
            <color indexed="81"/>
            <rFont val="Tahoma"/>
            <family val="2"/>
          </rPr>
          <t xml:space="preserve">
Specify the front window orientation using the dropdown in the Front row and the rest of the windows depict the correct orientation.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Edge, Chase</author>
  </authors>
  <commentList>
    <comment ref="B5" authorId="0" shapeId="0" xr:uid="{53A11DA6-005D-4AA1-BFA5-5BA3A020D7E9}">
      <text>
        <r>
          <rPr>
            <b/>
            <sz val="9"/>
            <color indexed="81"/>
            <rFont val="Tahoma"/>
            <family val="2"/>
          </rPr>
          <t>Edge, Chase:</t>
        </r>
        <r>
          <rPr>
            <sz val="9"/>
            <color indexed="81"/>
            <rFont val="Tahoma"/>
            <family val="2"/>
          </rPr>
          <t xml:space="preserve">
Select yes if the current floor completely overlaps the previous floor.</t>
        </r>
      </text>
    </comment>
    <comment ref="B6" authorId="0" shapeId="0" xr:uid="{7E339F27-2C71-4762-83F3-D72A8FD6C9C1}">
      <text>
        <r>
          <rPr>
            <b/>
            <sz val="9"/>
            <color indexed="81"/>
            <rFont val="Tahoma"/>
            <family val="2"/>
          </rPr>
          <t>Edge, Chase:</t>
        </r>
        <r>
          <rPr>
            <sz val="9"/>
            <color indexed="81"/>
            <rFont val="Tahoma"/>
            <family val="2"/>
          </rPr>
          <t xml:space="preserve">
Select "Yes" if the previous floor is completely overlapped by the current floor.</t>
        </r>
      </text>
    </comment>
    <comment ref="A9" authorId="0" shapeId="0" xr:uid="{28A358C0-E54C-4B14-B97D-B3A82D87189F}">
      <text>
        <r>
          <rPr>
            <b/>
            <sz val="9"/>
            <color indexed="81"/>
            <rFont val="Tahoma"/>
            <family val="2"/>
          </rPr>
          <t>Edge, Chase:</t>
        </r>
        <r>
          <rPr>
            <sz val="9"/>
            <color indexed="81"/>
            <rFont val="Tahoma"/>
            <family val="2"/>
          </rPr>
          <t xml:space="preserve">
This doesn’t effect calculations but the graphical representation of the dimensions entered. Edit the X and Y columns to change where the areas are placed in the chart to the right.
 </t>
        </r>
      </text>
    </comment>
    <comment ref="B14" authorId="0" shapeId="0" xr:uid="{8793519D-7907-4A60-841B-D886EDE51278}">
      <text>
        <r>
          <rPr>
            <b/>
            <sz val="9"/>
            <color indexed="81"/>
            <rFont val="Tahoma"/>
            <family val="2"/>
          </rPr>
          <t>Edge, Chase:</t>
        </r>
        <r>
          <rPr>
            <sz val="9"/>
            <color indexed="81"/>
            <rFont val="Tahoma"/>
            <family val="2"/>
          </rPr>
          <t xml:space="preserve">
This table summarizes the perimeter of the the floor.</t>
        </r>
      </text>
    </comment>
    <comment ref="A22" authorId="0" shapeId="0" xr:uid="{412AA7D7-C46E-42D7-8A28-44FD8993068A}">
      <text>
        <r>
          <rPr>
            <b/>
            <sz val="9"/>
            <color indexed="81"/>
            <rFont val="Tahoma"/>
            <family val="2"/>
          </rPr>
          <t xml:space="preserve">Edge, Chase:
</t>
        </r>
        <r>
          <rPr>
            <sz val="9"/>
            <color indexed="81"/>
            <rFont val="Tahoma"/>
            <family val="2"/>
          </rPr>
          <t>Type areas to subtract from the condintioned floor area such as opening to the floor below.</t>
        </r>
      </text>
    </comment>
    <comment ref="A32" authorId="0" shapeId="0" xr:uid="{B88D74A4-B00F-4B3C-87E7-A5ECD0522FB5}">
      <text>
        <r>
          <rPr>
            <b/>
            <sz val="9"/>
            <color indexed="81"/>
            <rFont val="Tahoma"/>
            <family val="2"/>
          </rPr>
          <t>Edge, Chase:</t>
        </r>
        <r>
          <rPr>
            <sz val="9"/>
            <color indexed="81"/>
            <rFont val="Tahoma"/>
            <family val="2"/>
          </rPr>
          <t xml:space="preserve">
This table is duplicated in all of the floor sheets. Type in the floor plan characteristics.</t>
        </r>
      </text>
    </comment>
    <comment ref="L32" authorId="0" shapeId="0" xr:uid="{908C677F-C195-49F0-A520-D2AFDA6C1762}">
      <text>
        <r>
          <rPr>
            <b/>
            <sz val="9"/>
            <color indexed="81"/>
            <rFont val="Tahoma"/>
            <family val="2"/>
          </rPr>
          <t>Edge, Chase:</t>
        </r>
        <r>
          <rPr>
            <sz val="9"/>
            <color indexed="81"/>
            <rFont val="Tahoma"/>
            <family val="2"/>
          </rPr>
          <t xml:space="preserve">
This table calculates the area of overlap for the rim joist. Fill it out the same way as the table to the left.</t>
        </r>
      </text>
    </comment>
    <comment ref="B33" authorId="0" shapeId="0" xr:uid="{7244F59B-5083-4A2A-9430-A166D12733C1}">
      <text>
        <r>
          <rPr>
            <b/>
            <sz val="9"/>
            <color indexed="81"/>
            <rFont val="Tahoma"/>
            <family val="2"/>
          </rPr>
          <t>Edge, Chase:</t>
        </r>
        <r>
          <rPr>
            <sz val="9"/>
            <color indexed="81"/>
            <rFont val="Tahoma"/>
            <family val="2"/>
          </rPr>
          <t xml:space="preserve">
Incases where the plan dimensions arent at the studs, change the offset number to reflect the true dimension. For example, if the dimensions include the brick exterior, set the offset number to 3" or 3/12.
</t>
        </r>
      </text>
    </comment>
    <comment ref="B34" authorId="0" shapeId="0" xr:uid="{F432A28F-D6B5-48FD-83C0-FEE9DA8D2ED9}">
      <text>
        <r>
          <rPr>
            <b/>
            <sz val="9"/>
            <color indexed="81"/>
            <rFont val="Tahoma"/>
            <family val="2"/>
          </rPr>
          <t>Edge, Chase:</t>
        </r>
        <r>
          <rPr>
            <sz val="9"/>
            <color indexed="81"/>
            <rFont val="Tahoma"/>
            <family val="2"/>
          </rPr>
          <t xml:space="preserve">
Enter each dimension from the floor plan in a clockwise or counter-clockwise fashion. Enter all units as feet. For example, enter 5.25 for a 5' 3" dimension. 
</t>
        </r>
      </text>
    </comment>
    <comment ref="C34" authorId="0" shapeId="0" xr:uid="{85B23A6F-9B41-4F39-B5CF-4C69FCB2AE14}">
      <text>
        <r>
          <rPr>
            <b/>
            <sz val="9"/>
            <color indexed="81"/>
            <rFont val="Tahoma"/>
            <family val="2"/>
          </rPr>
          <t>Edge, Chase:</t>
        </r>
        <r>
          <rPr>
            <sz val="9"/>
            <color indexed="81"/>
            <rFont val="Tahoma"/>
            <family val="2"/>
          </rPr>
          <t xml:space="preserve">
Enter the general direction of each dimention. For example, a horizontal wall is either left or right.</t>
        </r>
      </text>
    </comment>
    <comment ref="D34" authorId="0" shapeId="0" xr:uid="{A8ACE993-BA6F-46F8-953A-9B9EF28676BE}">
      <text>
        <r>
          <rPr>
            <b/>
            <sz val="9"/>
            <color indexed="81"/>
            <rFont val="Tahoma"/>
            <family val="2"/>
          </rPr>
          <t>Edge, Chase:</t>
        </r>
        <r>
          <rPr>
            <sz val="9"/>
            <color indexed="81"/>
            <rFont val="Tahoma"/>
            <family val="2"/>
          </rPr>
          <t xml:space="preserve">
If a wall is angled in a non-general way, type in the degree angle of the dimension.</t>
        </r>
      </text>
    </comment>
    <comment ref="E34" authorId="0" shapeId="0" xr:uid="{03CFFD7E-93B5-4205-B8C1-2F36B235830D}">
      <text>
        <r>
          <rPr>
            <b/>
            <sz val="9"/>
            <color indexed="81"/>
            <rFont val="Tahoma"/>
            <family val="2"/>
          </rPr>
          <t>Edge, Chase:</t>
        </r>
        <r>
          <rPr>
            <sz val="9"/>
            <color indexed="81"/>
            <rFont val="Tahoma"/>
            <family val="2"/>
          </rPr>
          <t xml:space="preserve">
Select the type of wall the dimesion is associated with. For example, select "Garage Wall" if the wall is separating a garage and conditioned space.
</t>
        </r>
      </text>
    </comment>
    <comment ref="B35" authorId="0" shapeId="0" xr:uid="{A672AC69-AF9F-4513-9773-58D9BF5CC00A}">
      <text>
        <r>
          <rPr>
            <b/>
            <sz val="9"/>
            <color indexed="81"/>
            <rFont val="Tahoma"/>
            <family val="2"/>
          </rPr>
          <t>Edge, Chase:</t>
        </r>
        <r>
          <rPr>
            <sz val="9"/>
            <color indexed="81"/>
            <rFont val="Tahoma"/>
            <family val="2"/>
          </rPr>
          <t xml:space="preserve">
Leave the first row of each table empty.</t>
        </r>
      </text>
    </comment>
  </commentList>
</comments>
</file>

<file path=xl/sharedStrings.xml><?xml version="1.0" encoding="utf-8"?>
<sst xmlns="http://schemas.openxmlformats.org/spreadsheetml/2006/main" count="537" uniqueCount="210">
  <si>
    <t>Degree</t>
  </si>
  <si>
    <t>Up</t>
  </si>
  <si>
    <t>Down</t>
  </si>
  <si>
    <t>Left</t>
  </si>
  <si>
    <t>Right</t>
  </si>
  <si>
    <t>Up-left (45)</t>
  </si>
  <si>
    <t>Up-Right (45)</t>
  </si>
  <si>
    <t>Down-left (45)</t>
  </si>
  <si>
    <t>Down-Right (45)</t>
  </si>
  <si>
    <t>Direction</t>
  </si>
  <si>
    <t>Actual Coordinates</t>
  </si>
  <si>
    <t>Unit Change</t>
  </si>
  <si>
    <t>Offset</t>
  </si>
  <si>
    <t>-</t>
  </si>
  <si>
    <t>Point</t>
  </si>
  <si>
    <t>Custom</t>
  </si>
  <si>
    <t>Offset Change</t>
  </si>
  <si>
    <t>Builder</t>
  </si>
  <si>
    <t>Plan Name</t>
  </si>
  <si>
    <t>Ekotrope ID</t>
  </si>
  <si>
    <t>Length</t>
  </si>
  <si>
    <t>Volume</t>
  </si>
  <si>
    <t>Shape</t>
  </si>
  <si>
    <t>Slope (?/12)</t>
  </si>
  <si>
    <t>base</t>
  </si>
  <si>
    <t>height</t>
  </si>
  <si>
    <t>Subtotal</t>
  </si>
  <si>
    <t>Ceiling Area</t>
  </si>
  <si>
    <t>Floor Overlap</t>
  </si>
  <si>
    <t>Angular Direction</t>
  </si>
  <si>
    <t>Custom Angular Direction</t>
  </si>
  <si>
    <t>X-Axis</t>
  </si>
  <si>
    <t>Y-Axis</t>
  </si>
  <si>
    <t>Floor Area</t>
  </si>
  <si>
    <t>Rim Joist Height</t>
  </si>
  <si>
    <t>Ceiling Sum</t>
  </si>
  <si>
    <t>Graphing start point</t>
  </si>
  <si>
    <t>Area sum</t>
  </si>
  <si>
    <t>Area Sum</t>
  </si>
  <si>
    <t>Graphing starting points</t>
  </si>
  <si>
    <t>First Floor</t>
  </si>
  <si>
    <t>Basement Floor</t>
  </si>
  <si>
    <t>Second Floor</t>
  </si>
  <si>
    <t>Third Floor</t>
  </si>
  <si>
    <t>Fourth Floor</t>
  </si>
  <si>
    <t>Cantelivered area</t>
  </si>
  <si>
    <t>Floor Overlap area (sf)</t>
  </si>
  <si>
    <t>Floor</t>
  </si>
  <si>
    <t>Shape Area</t>
  </si>
  <si>
    <t>Vaults and raised ceilings</t>
  </si>
  <si>
    <t>Number of Bedrooms</t>
  </si>
  <si>
    <t>Total SFSA (SF)</t>
  </si>
  <si>
    <t>Total Area (SF)</t>
  </si>
  <si>
    <t>Total Volume (CF)</t>
  </si>
  <si>
    <t>Total Window Area (SF)</t>
  </si>
  <si>
    <t>Foundation Type</t>
  </si>
  <si>
    <t>Option</t>
  </si>
  <si>
    <t>Side</t>
  </si>
  <si>
    <t>Overhang</t>
  </si>
  <si>
    <t>count</t>
  </si>
  <si>
    <t>width (ft)</t>
  </si>
  <si>
    <t>width (in)</t>
  </si>
  <si>
    <t>side 1 (decimal feet)</t>
  </si>
  <si>
    <t>height (ft)</t>
  </si>
  <si>
    <t>height (in)</t>
  </si>
  <si>
    <t>side 2 (decimal feet)</t>
  </si>
  <si>
    <t>area (x1)</t>
  </si>
  <si>
    <t>total area</t>
  </si>
  <si>
    <t>subtotal (shaded vs. exposed)</t>
  </si>
  <si>
    <t>total glass for side</t>
  </si>
  <si>
    <t>Type</t>
  </si>
  <si>
    <t>Window Summary</t>
  </si>
  <si>
    <t>Window Count</t>
  </si>
  <si>
    <t>SUM</t>
  </si>
  <si>
    <t>Window Calculation</t>
  </si>
  <si>
    <t>Front</t>
  </si>
  <si>
    <t>First</t>
  </si>
  <si>
    <t>Second</t>
  </si>
  <si>
    <t>Back</t>
  </si>
  <si>
    <t>Front-Left</t>
  </si>
  <si>
    <t>Back-Left</t>
  </si>
  <si>
    <t>Back-Right</t>
  </si>
  <si>
    <t>Front Shaded</t>
  </si>
  <si>
    <t>Front First</t>
  </si>
  <si>
    <t>Front Second</t>
  </si>
  <si>
    <t>Front Third</t>
  </si>
  <si>
    <t>Front Fourth</t>
  </si>
  <si>
    <t>Front Basement</t>
  </si>
  <si>
    <t>Left Shaded</t>
  </si>
  <si>
    <t>Left First</t>
  </si>
  <si>
    <t>Left Second</t>
  </si>
  <si>
    <t>Left Third</t>
  </si>
  <si>
    <t>Left Fourth</t>
  </si>
  <si>
    <t>Left Basement</t>
  </si>
  <si>
    <t>Right Shaded</t>
  </si>
  <si>
    <t>Right First</t>
  </si>
  <si>
    <t>Right Second</t>
  </si>
  <si>
    <t>Right Third</t>
  </si>
  <si>
    <t>Right Fourth</t>
  </si>
  <si>
    <t>Right Basement</t>
  </si>
  <si>
    <t>Back Shaded</t>
  </si>
  <si>
    <t>Back First</t>
  </si>
  <si>
    <t>Back Second</t>
  </si>
  <si>
    <t>Back Third</t>
  </si>
  <si>
    <t>Back Fourth</t>
  </si>
  <si>
    <t>Back Basement</t>
  </si>
  <si>
    <t>Front-Left Shaded</t>
  </si>
  <si>
    <t>Front-Left First</t>
  </si>
  <si>
    <t>Front-Left Second</t>
  </si>
  <si>
    <t>Front-Left Third</t>
  </si>
  <si>
    <t>Front-Left Fourth</t>
  </si>
  <si>
    <t>Front-Left Basement</t>
  </si>
  <si>
    <t>Front-Right Shaded</t>
  </si>
  <si>
    <t>Front-Right First</t>
  </si>
  <si>
    <t>Front-Right Second</t>
  </si>
  <si>
    <t>Front-Right Third</t>
  </si>
  <si>
    <t>Front-Right Fourth</t>
  </si>
  <si>
    <t>Front-Right Basement</t>
  </si>
  <si>
    <t>Back-Left Shaded</t>
  </si>
  <si>
    <t>Back-Left First</t>
  </si>
  <si>
    <t>Back-Left Second</t>
  </si>
  <si>
    <t>Back-Left Third</t>
  </si>
  <si>
    <t>Back-Left Fourth</t>
  </si>
  <si>
    <t>Back-Left Basement</t>
  </si>
  <si>
    <t>Back-Right Shaded</t>
  </si>
  <si>
    <t>Back-Right First</t>
  </si>
  <si>
    <t>Back-Right Second</t>
  </si>
  <si>
    <t>Back-Right Third</t>
  </si>
  <si>
    <t>Back-Right Fourth</t>
  </si>
  <si>
    <t>Back-Right Basement</t>
  </si>
  <si>
    <t>Name</t>
  </si>
  <si>
    <t>Orientaion</t>
  </si>
  <si>
    <t>Area Windows Flipped?</t>
  </si>
  <si>
    <t>North</t>
  </si>
  <si>
    <t>East</t>
  </si>
  <si>
    <t>South</t>
  </si>
  <si>
    <t>West</t>
  </si>
  <si>
    <t>North-East</t>
  </si>
  <si>
    <t>South-East</t>
  </si>
  <si>
    <t>South-West</t>
  </si>
  <si>
    <t>North-West</t>
  </si>
  <si>
    <t xml:space="preserve">Front-Right </t>
  </si>
  <si>
    <t>Front Orientation</t>
  </si>
  <si>
    <t>Main Area and Volumes</t>
  </si>
  <si>
    <t>Number of Stories</t>
  </si>
  <si>
    <t>General Comments:</t>
  </si>
  <si>
    <t>Basement/Foundation</t>
  </si>
  <si>
    <t>Kneewall</t>
  </si>
  <si>
    <t>Total</t>
  </si>
  <si>
    <t>Foundation Wall</t>
  </si>
  <si>
    <t>Garage Wall</t>
  </si>
  <si>
    <t>Wall Type</t>
  </si>
  <si>
    <t>Total Wall</t>
  </si>
  <si>
    <t>Rim Joist</t>
  </si>
  <si>
    <t>Shell Areas</t>
  </si>
  <si>
    <t>SUM (SF)</t>
  </si>
  <si>
    <t>Floor Name</t>
  </si>
  <si>
    <t>Third</t>
  </si>
  <si>
    <t>Fourth</t>
  </si>
  <si>
    <t>Ceiling area</t>
  </si>
  <si>
    <t>Catelievered Floor area</t>
  </si>
  <si>
    <t>Attic</t>
  </si>
  <si>
    <t>Ambient</t>
  </si>
  <si>
    <t>Kneewall Area</t>
  </si>
  <si>
    <t>Additional Areas</t>
  </si>
  <si>
    <t>Difference</t>
  </si>
  <si>
    <t>Percent of wall area in</t>
  </si>
  <si>
    <t>Additional Volumes</t>
  </si>
  <si>
    <t>Main Wall</t>
  </si>
  <si>
    <t>Secondary Wall</t>
  </si>
  <si>
    <t>2x4</t>
  </si>
  <si>
    <t>2x6</t>
  </si>
  <si>
    <t>CMU</t>
  </si>
  <si>
    <t>Floor-shape area</t>
  </si>
  <si>
    <t>Front Total</t>
  </si>
  <si>
    <t>Total Back-Right</t>
  </si>
  <si>
    <t>Total Back-Left</t>
  </si>
  <si>
    <t>Total Front-Right</t>
  </si>
  <si>
    <t>Total Front-Left</t>
  </si>
  <si>
    <t>Total Back</t>
  </si>
  <si>
    <t xml:space="preserve">Total Right </t>
  </si>
  <si>
    <t>Total Left</t>
  </si>
  <si>
    <t>Complete first floor overlap</t>
  </si>
  <si>
    <t>Complete Bsmt/foundation overlap</t>
  </si>
  <si>
    <t>Areas to subtract</t>
  </si>
  <si>
    <t>Wall Height (ft)</t>
  </si>
  <si>
    <t>Shaded</t>
  </si>
  <si>
    <t>Slab</t>
  </si>
  <si>
    <t>Complete 4th floor overlapp</t>
  </si>
  <si>
    <t>Complete overlap for previous floor</t>
  </si>
  <si>
    <t>Complete 3rd floor overlapp</t>
  </si>
  <si>
    <t>Complete 2nd floor overlapp</t>
  </si>
  <si>
    <t>Summary</t>
  </si>
  <si>
    <t>No</t>
  </si>
  <si>
    <t>Note: Only for trapazoids</t>
  </si>
  <si>
    <t>First Floor rim joist</t>
  </si>
  <si>
    <t>Second Floor rim joist</t>
  </si>
  <si>
    <t>Third Floor rim joist</t>
  </si>
  <si>
    <t>Fourth Floor rim joist</t>
  </si>
  <si>
    <t>Main Wall Area</t>
  </si>
  <si>
    <t>X</t>
  </si>
  <si>
    <t>Y</t>
  </si>
  <si>
    <t>Bsmt-Found Floor</t>
  </si>
  <si>
    <t>5'</t>
  </si>
  <si>
    <t>Window count and dimensions</t>
  </si>
  <si>
    <t>Window Areas</t>
  </si>
  <si>
    <t>This chart  and all others folowing represents the current floor and the floor below it as well as the area these two floors overlap.</t>
  </si>
  <si>
    <t>Overhang values</t>
  </si>
  <si>
    <t>Conditioned area (sf)</t>
  </si>
  <si>
    <t>Note: All cells colored as the cell below designates an input cell for calculations. Other cells either have calculations or labels. Cell with a red trianlge at the top right of the cell has notes. Hover over the cell to see the 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</si>
</sst>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b/>
      <sz val="11"/>
      <color theme="0"/>
      <name val="Calibri"/>
      <family val="2"/>
      <scheme val="minor"/>
    </font>
    <font>
      <b/>
      <sz val="14"/>
      <color theme="0"/>
      <name val="Calibri"/>
      <family val="2"/>
      <scheme val="minor"/>
    </font>
    <font>
      <sz val="11"/>
      <color theme="1"/>
      <name val="Calibri"/>
      <family val="2"/>
      <scheme val="minor"/>
    </font>
    <font>
      <sz val="10"/>
      <color rgb="FF4D4D4D"/>
      <name val="Tahoma"/>
      <family val="2"/>
    </font>
    <font>
      <i/>
      <sz val="11"/>
      <color theme="1"/>
      <name val="Calibri"/>
      <family val="2"/>
      <scheme val="minor"/>
    </font>
    <font>
      <b/>
      <sz val="11"/>
      <color theme="1"/>
      <name val="Calibri"/>
      <family val="2"/>
      <scheme val="minor"/>
    </font>
    <font>
      <b/>
      <i/>
      <sz val="11"/>
      <color theme="0"/>
      <name val="Calibri"/>
      <family val="2"/>
      <scheme val="minor"/>
    </font>
    <font>
      <sz val="9"/>
      <color indexed="81"/>
      <name val="Tahoma"/>
      <family val="2"/>
    </font>
    <font>
      <b/>
      <sz val="9"/>
      <color indexed="81"/>
      <name val="Tahoma"/>
      <family val="2"/>
    </font>
  </fonts>
  <fills count="7">
    <fill>
      <patternFill patternType="none"/>
    </fill>
    <fill>
      <patternFill patternType="gray125"/>
    </fill>
    <fill>
      <patternFill patternType="solid">
        <fgColor theme="5"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FFFF00"/>
        <bgColor indexed="64"/>
      </patternFill>
    </fill>
  </fills>
  <borders count="27">
    <border>
      <left/>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int="0.39997558519241921"/>
      </top>
      <bottom/>
      <diagonal/>
    </border>
    <border>
      <left/>
      <right/>
      <top/>
      <bottom style="thin">
        <color theme="4" tint="0.39997558519241921"/>
      </bottom>
      <diagonal/>
    </border>
    <border>
      <left style="medium">
        <color indexed="64"/>
      </left>
      <right/>
      <top style="medium">
        <color indexed="64"/>
      </top>
      <bottom style="thin">
        <color theme="4" tint="0.39997558519241921"/>
      </bottom>
      <diagonal/>
    </border>
    <border>
      <left/>
      <right style="medium">
        <color indexed="64"/>
      </right>
      <top style="medium">
        <color indexed="64"/>
      </top>
      <bottom style="thin">
        <color theme="4" tint="0.39997558519241921"/>
      </bottom>
      <diagonal/>
    </border>
    <border>
      <left/>
      <right style="medium">
        <color indexed="64"/>
      </right>
      <top style="thin">
        <color theme="4" tint="0.39997558519241921"/>
      </top>
      <bottom style="thin">
        <color theme="4" tint="0.39997558519241921"/>
      </bottom>
      <diagonal/>
    </border>
    <border>
      <left/>
      <right style="medium">
        <color indexed="64"/>
      </right>
      <top style="thin">
        <color theme="4" tint="0.39997558519241921"/>
      </top>
      <bottom style="medium">
        <color indexed="64"/>
      </bottom>
      <diagonal/>
    </border>
    <border>
      <left/>
      <right/>
      <top style="thin">
        <color theme="4" tint="0.39997558519241921"/>
      </top>
      <bottom style="medium">
        <color indexed="64"/>
      </bottom>
      <diagonal/>
    </border>
    <border>
      <left style="thin">
        <color indexed="64"/>
      </left>
      <right style="thin">
        <color indexed="64"/>
      </right>
      <top/>
      <bottom/>
      <diagonal/>
    </border>
  </borders>
  <cellStyleXfs count="2">
    <xf numFmtId="0" fontId="0" fillId="0" borderId="0"/>
    <xf numFmtId="9" fontId="3" fillId="0" borderId="0" applyFont="0" applyFill="0" applyBorder="0" applyAlignment="0" applyProtection="0"/>
  </cellStyleXfs>
  <cellXfs count="95">
    <xf numFmtId="0" fontId="0" fillId="0" borderId="0" xfId="0"/>
    <xf numFmtId="2" fontId="0" fillId="0" borderId="0" xfId="0" applyNumberFormat="1"/>
    <xf numFmtId="0" fontId="0" fillId="2" borderId="1" xfId="0" applyFont="1" applyFill="1" applyBorder="1"/>
    <xf numFmtId="0" fontId="1" fillId="3" borderId="0" xfId="0" applyFont="1" applyFill="1" applyBorder="1"/>
    <xf numFmtId="0" fontId="1" fillId="3" borderId="1" xfId="0" applyFont="1" applyFill="1" applyBorder="1"/>
    <xf numFmtId="0" fontId="0" fillId="4" borderId="2" xfId="0" applyFont="1" applyFill="1" applyBorder="1"/>
    <xf numFmtId="0" fontId="0" fillId="0" borderId="2" xfId="0" applyFont="1" applyBorder="1"/>
    <xf numFmtId="0" fontId="0" fillId="0" borderId="3" xfId="0" applyBorder="1" applyAlignment="1">
      <alignment wrapText="1"/>
    </xf>
    <xf numFmtId="0" fontId="0" fillId="0" borderId="4" xfId="0" applyBorder="1" applyAlignment="1">
      <alignment wrapText="1"/>
    </xf>
    <xf numFmtId="0" fontId="0" fillId="0" borderId="3" xfId="0" applyBorder="1" applyAlignment="1"/>
    <xf numFmtId="0" fontId="0" fillId="0" borderId="0" xfId="0" applyBorder="1"/>
    <xf numFmtId="0" fontId="0" fillId="0" borderId="5" xfId="0" applyBorder="1"/>
    <xf numFmtId="164" fontId="0" fillId="0" borderId="0" xfId="0" applyNumberFormat="1" applyBorder="1"/>
    <xf numFmtId="0" fontId="0" fillId="0" borderId="6" xfId="0" applyBorder="1"/>
    <xf numFmtId="0" fontId="0" fillId="0" borderId="9" xfId="0" applyBorder="1"/>
    <xf numFmtId="0" fontId="0" fillId="0" borderId="10"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8" xfId="0" applyBorder="1"/>
    <xf numFmtId="0" fontId="4" fillId="0" borderId="0" xfId="0" applyFont="1" applyFill="1" applyBorder="1" applyAlignment="1">
      <alignment vertical="center"/>
    </xf>
    <xf numFmtId="2" fontId="0" fillId="0" borderId="0" xfId="0" applyNumberFormat="1" applyBorder="1"/>
    <xf numFmtId="0" fontId="2" fillId="3" borderId="0" xfId="0" applyFont="1" applyFill="1" applyBorder="1" applyAlignment="1">
      <alignment horizontal="center"/>
    </xf>
    <xf numFmtId="0" fontId="0" fillId="4" borderId="1" xfId="0" applyFont="1" applyFill="1" applyBorder="1"/>
    <xf numFmtId="0" fontId="0" fillId="0" borderId="1" xfId="0" applyFont="1" applyBorder="1"/>
    <xf numFmtId="0" fontId="1" fillId="3" borderId="0" xfId="0" applyFont="1" applyFill="1" applyBorder="1" applyAlignment="1">
      <alignment horizontal="center"/>
    </xf>
    <xf numFmtId="0" fontId="0" fillId="4" borderId="0" xfId="0" applyFont="1" applyFill="1" applyBorder="1"/>
    <xf numFmtId="0" fontId="0" fillId="5" borderId="0" xfId="0" applyFill="1"/>
    <xf numFmtId="0" fontId="5" fillId="0" borderId="0" xfId="0" applyFont="1"/>
    <xf numFmtId="0" fontId="0" fillId="0" borderId="11" xfId="0" applyBorder="1"/>
    <xf numFmtId="0" fontId="0" fillId="0" borderId="12" xfId="0" applyBorder="1"/>
    <xf numFmtId="0" fontId="0" fillId="2" borderId="26" xfId="0" applyFill="1" applyBorder="1" applyProtection="1">
      <protection locked="0"/>
    </xf>
    <xf numFmtId="0" fontId="0" fillId="2" borderId="0" xfId="0" applyFill="1" applyBorder="1" applyProtection="1">
      <protection locked="0"/>
    </xf>
    <xf numFmtId="0" fontId="0" fillId="2" borderId="1" xfId="0" applyFont="1" applyFill="1" applyBorder="1" applyProtection="1">
      <protection locked="0"/>
    </xf>
    <xf numFmtId="0" fontId="0" fillId="0" borderId="0" xfId="0" applyProtection="1"/>
    <xf numFmtId="0" fontId="0" fillId="0" borderId="6" xfId="0" applyBorder="1" applyProtection="1"/>
    <xf numFmtId="0" fontId="0" fillId="0" borderId="8" xfId="0" applyBorder="1" applyProtection="1"/>
    <xf numFmtId="0" fontId="0" fillId="0" borderId="9" xfId="0" applyBorder="1" applyProtection="1"/>
    <xf numFmtId="0" fontId="0" fillId="0" borderId="10" xfId="0" applyBorder="1" applyProtection="1"/>
    <xf numFmtId="0" fontId="0" fillId="0" borderId="11" xfId="0" applyBorder="1" applyProtection="1"/>
    <xf numFmtId="0" fontId="0" fillId="0" borderId="12" xfId="0" applyBorder="1" applyProtection="1"/>
    <xf numFmtId="0" fontId="0" fillId="0" borderId="0" xfId="0" applyBorder="1" applyProtection="1"/>
    <xf numFmtId="0" fontId="0" fillId="2" borderId="0" xfId="0" applyFont="1" applyFill="1" applyBorder="1" applyProtection="1"/>
    <xf numFmtId="0" fontId="1" fillId="3" borderId="0" xfId="0" applyFont="1" applyFill="1" applyBorder="1" applyProtection="1"/>
    <xf numFmtId="0" fontId="1" fillId="3" borderId="0" xfId="0" applyFont="1" applyFill="1" applyBorder="1" applyAlignment="1" applyProtection="1">
      <alignment horizontal="center"/>
    </xf>
    <xf numFmtId="2" fontId="0" fillId="0" borderId="0" xfId="0" applyNumberFormat="1" applyProtection="1"/>
    <xf numFmtId="0" fontId="0" fillId="2" borderId="23" xfId="0" applyFont="1" applyFill="1" applyBorder="1" applyProtection="1">
      <protection locked="0"/>
    </xf>
    <xf numFmtId="0" fontId="0" fillId="2" borderId="10" xfId="0" applyFont="1" applyFill="1" applyBorder="1" applyProtection="1">
      <protection locked="0"/>
    </xf>
    <xf numFmtId="0" fontId="0" fillId="2" borderId="25" xfId="0" applyFont="1" applyFill="1" applyBorder="1" applyProtection="1">
      <protection locked="0"/>
    </xf>
    <xf numFmtId="0" fontId="0" fillId="2" borderId="24" xfId="0" applyFont="1" applyFill="1" applyBorder="1" applyProtection="1">
      <protection locked="0"/>
    </xf>
    <xf numFmtId="0" fontId="0" fillId="2" borderId="0" xfId="0" applyFont="1" applyFill="1" applyBorder="1" applyProtection="1">
      <protection locked="0"/>
    </xf>
    <xf numFmtId="0" fontId="0" fillId="0" borderId="0" xfId="0" applyAlignment="1" applyProtection="1">
      <alignment horizontal="center"/>
    </xf>
    <xf numFmtId="0" fontId="0" fillId="2" borderId="5" xfId="0" applyFill="1" applyBorder="1" applyProtection="1">
      <protection locked="0"/>
    </xf>
    <xf numFmtId="0" fontId="0" fillId="0" borderId="0" xfId="0" applyAlignment="1">
      <alignment horizontal="center"/>
    </xf>
    <xf numFmtId="0" fontId="0" fillId="2" borderId="19" xfId="0" applyFont="1" applyFill="1" applyBorder="1" applyProtection="1">
      <protection locked="0"/>
    </xf>
    <xf numFmtId="0" fontId="0" fillId="2" borderId="0" xfId="0" applyFill="1" applyProtection="1">
      <protection locked="0"/>
    </xf>
    <xf numFmtId="9" fontId="0" fillId="2" borderId="9" xfId="1" applyFont="1" applyFill="1" applyBorder="1" applyProtection="1">
      <protection locked="0"/>
    </xf>
    <xf numFmtId="9" fontId="0" fillId="2" borderId="10" xfId="1" applyFont="1" applyFill="1" applyBorder="1" applyProtection="1">
      <protection locked="0"/>
    </xf>
    <xf numFmtId="9" fontId="0" fillId="2" borderId="11" xfId="1" applyFont="1" applyFill="1" applyBorder="1" applyProtection="1">
      <protection locked="0"/>
    </xf>
    <xf numFmtId="9" fontId="0" fillId="2" borderId="12" xfId="1" applyFont="1" applyFill="1" applyBorder="1" applyProtection="1">
      <protection locked="0"/>
    </xf>
    <xf numFmtId="0" fontId="0" fillId="2" borderId="8" xfId="0" applyFont="1" applyFill="1" applyBorder="1" applyProtection="1">
      <protection locked="0"/>
    </xf>
    <xf numFmtId="0" fontId="0" fillId="2" borderId="12" xfId="0" applyFont="1" applyFill="1" applyBorder="1" applyProtection="1">
      <protection locked="0"/>
    </xf>
    <xf numFmtId="0" fontId="0" fillId="2" borderId="17" xfId="0" applyFont="1" applyFill="1" applyBorder="1" applyProtection="1">
      <protection locked="0"/>
    </xf>
    <xf numFmtId="0" fontId="7" fillId="3" borderId="1" xfId="0" applyFont="1" applyFill="1" applyBorder="1"/>
    <xf numFmtId="0" fontId="0" fillId="0" borderId="5" xfId="0" applyBorder="1" applyAlignment="1">
      <alignment wrapText="1"/>
    </xf>
    <xf numFmtId="0" fontId="0" fillId="0" borderId="0" xfId="0" applyBorder="1" applyAlignment="1">
      <alignment wrapText="1"/>
    </xf>
    <xf numFmtId="2" fontId="0" fillId="0" borderId="15" xfId="0" applyNumberFormat="1" applyBorder="1"/>
    <xf numFmtId="0" fontId="0" fillId="2" borderId="0" xfId="0" applyFill="1" applyAlignment="1" applyProtection="1">
      <alignment horizontal="center" vertical="center"/>
      <protection locked="0"/>
    </xf>
    <xf numFmtId="1" fontId="0" fillId="0" borderId="17" xfId="0" applyNumberFormat="1" applyBorder="1"/>
    <xf numFmtId="0" fontId="6" fillId="0" borderId="0" xfId="0" applyFont="1" applyBorder="1"/>
    <xf numFmtId="2" fontId="6" fillId="0" borderId="0" xfId="0" applyNumberFormat="1" applyFont="1" applyBorder="1"/>
    <xf numFmtId="0" fontId="0" fillId="0" borderId="13" xfId="0" applyBorder="1" applyAlignment="1">
      <alignment horizontal="center"/>
    </xf>
    <xf numFmtId="0" fontId="0" fillId="0" borderId="15" xfId="0" applyBorder="1" applyAlignment="1">
      <alignment horizontal="center"/>
    </xf>
    <xf numFmtId="0" fontId="0" fillId="6" borderId="0" xfId="0" applyFill="1" applyAlignment="1">
      <alignment horizontal="left" vertical="top" wrapText="1"/>
    </xf>
    <xf numFmtId="0" fontId="1" fillId="3" borderId="21" xfId="0" applyFont="1" applyFill="1" applyBorder="1" applyAlignment="1">
      <alignment horizontal="center"/>
    </xf>
    <xf numFmtId="0" fontId="1" fillId="3" borderId="22" xfId="0" applyFont="1" applyFill="1" applyBorder="1" applyAlignment="1">
      <alignment horizontal="center"/>
    </xf>
    <xf numFmtId="0" fontId="2" fillId="3" borderId="0" xfId="0" applyFont="1" applyFill="1" applyBorder="1" applyAlignment="1">
      <alignment horizontal="center"/>
    </xf>
    <xf numFmtId="0" fontId="0" fillId="2" borderId="19" xfId="0" applyFont="1" applyFill="1" applyBorder="1" applyAlignment="1" applyProtection="1">
      <alignment horizontal="left" vertical="top" wrapText="1"/>
      <protection locked="0"/>
    </xf>
    <xf numFmtId="0" fontId="0" fillId="2" borderId="0" xfId="0" applyFont="1" applyFill="1" applyBorder="1" applyAlignment="1" applyProtection="1">
      <alignment horizontal="left" vertical="top" wrapText="1"/>
      <protection locked="0"/>
    </xf>
    <xf numFmtId="0" fontId="0" fillId="2" borderId="20" xfId="0" applyFont="1" applyFill="1" applyBorder="1" applyAlignment="1" applyProtection="1">
      <alignment horizontal="left" vertical="top" wrapText="1"/>
      <protection locked="0"/>
    </xf>
    <xf numFmtId="0" fontId="0" fillId="0" borderId="0" xfId="0" applyBorder="1" applyAlignment="1">
      <alignment horizontal="center" vertical="center"/>
    </xf>
    <xf numFmtId="0" fontId="0" fillId="2" borderId="1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6" xfId="0"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2" fillId="3" borderId="0" xfId="0" applyFont="1" applyFill="1" applyBorder="1" applyAlignment="1" applyProtection="1">
      <alignment horizontal="center"/>
    </xf>
    <xf numFmtId="0" fontId="0" fillId="6" borderId="0" xfId="0" applyFill="1" applyAlignment="1" applyProtection="1">
      <alignment horizontal="left" vertical="top"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cellXfs>
  <cellStyles count="2">
    <cellStyle name="Normal" xfId="0" builtinId="0"/>
    <cellStyle name="Percent" xfId="1" builtinId="5"/>
  </cellStyles>
  <dxfs count="164">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5" tint="0.79998168889431442"/>
        </patternFill>
      </fill>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5" tint="0.79998168889431442"/>
        </patternFill>
      </fill>
      <protection locked="0" hidden="0"/>
    </dxf>
    <dxf>
      <numFmt numFmtId="2" formatCode="0.00"/>
    </dxf>
    <dxf>
      <numFmt numFmtId="2" formatCode="0.00"/>
    </dxf>
    <dxf>
      <numFmt numFmtId="2" formatCode="0.00"/>
    </dxf>
    <dxf>
      <fill>
        <patternFill patternType="solid">
          <fgColor indexed="64"/>
          <bgColor theme="5" tint="0.79998168889431442"/>
        </patternFill>
      </fill>
    </dxf>
    <dxf>
      <fill>
        <patternFill patternType="solid">
          <fgColor indexed="64"/>
          <bgColor theme="5" tint="0.79998168889431442"/>
        </patternFill>
      </fill>
      <border diagonalUp="0" diagonalDown="0">
        <left style="thin">
          <color indexed="64"/>
        </left>
        <right style="thin">
          <color indexed="64"/>
        </right>
        <top/>
        <bottom/>
        <vertical/>
        <horizontal/>
      </border>
    </dxf>
    <dxf>
      <fill>
        <patternFill patternType="solid">
          <fgColor indexed="64"/>
          <bgColor theme="5" tint="0.79998168889431442"/>
        </patternFill>
      </fill>
      <border diagonalUp="0" diagonalDown="0">
        <left style="thin">
          <color indexed="64"/>
        </left>
        <right style="thin">
          <color indexed="64"/>
        </right>
        <top/>
        <bottom/>
        <vertical/>
        <horizontal/>
      </border>
    </dxf>
    <dxf>
      <fill>
        <patternFill patternType="solid">
          <fgColor indexed="64"/>
          <bgColor theme="5" tint="0.79998168889431442"/>
        </patternFill>
      </fill>
    </dxf>
    <dxf>
      <fill>
        <patternFill patternType="solid">
          <fgColor indexed="64"/>
          <bgColor theme="5" tint="0.7999816888943144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5" tint="0.79998168889431442"/>
        </patternFill>
      </fill>
      <border diagonalUp="0" diagonalDown="0">
        <left/>
        <right/>
        <top style="thin">
          <color theme="4" tint="0.39997558519241921"/>
        </top>
        <bottom style="thin">
          <color theme="4" tint="0.39997558519241921"/>
        </bottom>
        <vertical/>
        <horizontal/>
      </border>
      <protection locked="0" hidden="0"/>
    </dxf>
    <dxf>
      <border outline="0">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solid">
          <fgColor indexed="64"/>
          <bgColor theme="5" tint="0.79998168889431442"/>
        </patternFill>
      </fill>
      <protection locked="0" hidden="0"/>
    </dxf>
    <dxf>
      <protection locked="1" hidden="0"/>
    </dxf>
    <dxf>
      <numFmt numFmtId="0" formatCode="General"/>
      <protection locked="1" hidden="0"/>
    </dxf>
    <dxf>
      <protection locked="1" hidden="0"/>
    </dxf>
    <dxf>
      <protection locked="1" hidden="0"/>
    </dxf>
    <dxf>
      <numFmt numFmtId="2" formatCode="0.00"/>
      <protection locked="1" hidden="0"/>
    </dxf>
    <dxf>
      <numFmt numFmtId="2" formatCode="0.00"/>
      <protection locked="1" hidden="0"/>
    </dxf>
    <dxf>
      <numFmt numFmtId="2" formatCode="0.00"/>
      <protection locked="1" hidden="0"/>
    </dxf>
    <dxf>
      <fill>
        <patternFill patternType="solid">
          <fgColor indexed="64"/>
          <bgColor theme="5" tint="0.79998168889431442"/>
        </patternFill>
      </fill>
      <protection locked="1" hidden="0"/>
    </dxf>
    <dxf>
      <protection locked="1" hidden="0"/>
    </dxf>
    <dxf>
      <fill>
        <patternFill patternType="solid">
          <fgColor indexed="64"/>
          <bgColor theme="5" tint="0.79998168889431442"/>
        </patternFill>
      </fill>
      <border diagonalUp="0" diagonalDown="0">
        <left style="thin">
          <color indexed="64"/>
        </left>
        <right/>
        <top/>
        <bottom/>
        <vertical/>
        <horizontal/>
      </border>
      <protection locked="0" hidden="0"/>
    </dxf>
    <dxf>
      <fill>
        <patternFill patternType="solid">
          <fgColor indexed="64"/>
          <bgColor theme="5" tint="0.79998168889431442"/>
        </patternFill>
      </fill>
      <protection locked="0" hidden="0"/>
    </dxf>
    <dxf>
      <fill>
        <patternFill patternType="solid">
          <fgColor indexed="64"/>
          <bgColor theme="5" tint="0.79998168889431442"/>
        </patternFill>
      </fill>
      <border diagonalUp="0" diagonalDown="0">
        <left style="thin">
          <color indexed="64"/>
        </left>
        <right style="thin">
          <color indexed="64"/>
        </right>
        <top/>
        <bottom/>
        <vertical/>
        <horizontal/>
      </border>
      <protection locked="0" hidden="0"/>
    </dxf>
    <dxf>
      <protection locked="1" hidden="0"/>
    </dxf>
    <dxf>
      <protection locked="1" hidden="0"/>
    </dxf>
    <dxf>
      <protection locked="1" hidden="0"/>
    </dxf>
    <dxf>
      <numFmt numFmtId="2" formatCode="0.00"/>
      <protection locked="1" hidden="0"/>
    </dxf>
    <dxf>
      <numFmt numFmtId="2" formatCode="0.00"/>
      <protection locked="1" hidden="0"/>
    </dxf>
    <dxf>
      <numFmt numFmtId="2" formatCode="0.00"/>
      <protection locked="1" hidden="0"/>
    </dxf>
    <dxf>
      <fill>
        <patternFill patternType="solid">
          <fgColor indexed="64"/>
          <bgColor theme="5" tint="0.79998168889431442"/>
        </patternFill>
      </fill>
      <protection locked="1" hidden="0"/>
    </dxf>
    <dxf>
      <protection locked="1" hidden="0"/>
    </dxf>
    <dxf>
      <fill>
        <patternFill patternType="solid">
          <fgColor indexed="64"/>
          <bgColor theme="5" tint="0.79998168889431442"/>
        </patternFill>
      </fill>
      <border diagonalUp="0" diagonalDown="0">
        <left style="thin">
          <color indexed="64"/>
        </left>
        <right style="thin">
          <color indexed="64"/>
        </right>
        <top/>
        <bottom/>
        <vertical/>
        <horizontal/>
      </border>
      <protection locked="0" hidden="0"/>
    </dxf>
    <dxf>
      <fill>
        <patternFill patternType="solid">
          <fgColor indexed="64"/>
          <bgColor theme="5" tint="0.79998168889431442"/>
        </patternFill>
      </fill>
      <border diagonalUp="0" diagonalDown="0">
        <left style="thin">
          <color indexed="64"/>
        </left>
        <right style="thin">
          <color indexed="64"/>
        </right>
        <top/>
        <bottom/>
        <vertical/>
        <horizontal/>
      </border>
      <protection locked="0" hidden="0"/>
    </dxf>
    <dxf>
      <fill>
        <patternFill patternType="solid">
          <fgColor indexed="64"/>
          <bgColor theme="5" tint="0.79998168889431442"/>
        </patternFill>
      </fill>
      <protection locked="0" hidden="0"/>
    </dxf>
    <dxf>
      <fill>
        <patternFill patternType="solid">
          <fgColor indexed="64"/>
          <bgColor theme="5" tint="0.79998168889431442"/>
        </patternFill>
      </fill>
      <border diagonalUp="0" diagonalDown="0">
        <left style="thin">
          <color indexed="64"/>
        </left>
        <right style="thin">
          <color indexed="64"/>
        </right>
        <top/>
        <bottom/>
        <vertical/>
        <horizontal/>
      </border>
      <protection locked="0" hidden="0"/>
    </dxf>
    <dxf>
      <protection locked="1" hidden="0"/>
    </dxf>
    <dxf>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solid">
          <fgColor indexed="64"/>
          <bgColor theme="5" tint="0.79998168889431442"/>
        </patternFill>
      </fill>
      <border diagonalUp="0" diagonalDown="0">
        <left/>
        <right/>
        <top style="thin">
          <color theme="4" tint="0.39997558519241921"/>
        </top>
        <bottom style="thin">
          <color theme="4" tint="0.39997558519241921"/>
        </bottom>
        <vertical/>
        <horizontal/>
      </border>
      <protection locked="0" hidden="0"/>
    </dxf>
    <dxf>
      <border outline="0">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solid">
          <fgColor indexed="64"/>
          <bgColor theme="5" tint="0.79998168889431442"/>
        </patternFill>
      </fill>
      <protection locked="0" hidden="0"/>
    </dxf>
    <dxf>
      <protection locked="1" hidden="0"/>
    </dxf>
    <dxf>
      <protection locked="1" hidden="0"/>
    </dxf>
    <dxf>
      <protection locked="1" hidden="0"/>
    </dxf>
    <dxf>
      <protection locked="1" hidden="0"/>
    </dxf>
    <dxf>
      <protection locked="1" hidden="0"/>
    </dxf>
    <dxf>
      <numFmt numFmtId="2" formatCode="0.00"/>
      <protection locked="1" hidden="0"/>
    </dxf>
    <dxf>
      <numFmt numFmtId="2" formatCode="0.00"/>
      <protection locked="1" hidden="0"/>
    </dxf>
    <dxf>
      <numFmt numFmtId="2" formatCode="0.00"/>
      <protection locked="1" hidden="0"/>
    </dxf>
    <dxf>
      <fill>
        <patternFill patternType="solid">
          <fgColor indexed="64"/>
          <bgColor theme="5" tint="0.79998168889431442"/>
        </patternFill>
      </fill>
      <protection locked="1" hidden="0"/>
    </dxf>
    <dxf>
      <protection locked="1" hidden="0"/>
    </dxf>
    <dxf>
      <fill>
        <patternFill patternType="solid">
          <fgColor indexed="64"/>
          <bgColor theme="5" tint="0.79998168889431442"/>
        </patternFill>
      </fill>
      <border diagonalUp="0" diagonalDown="0">
        <left style="thin">
          <color indexed="64"/>
        </left>
        <right/>
        <top/>
        <bottom/>
        <vertical/>
        <horizontal/>
      </border>
      <protection locked="0" hidden="0"/>
    </dxf>
    <dxf>
      <fill>
        <patternFill patternType="solid">
          <fgColor indexed="64"/>
          <bgColor theme="5" tint="0.79998168889431442"/>
        </patternFill>
      </fill>
      <protection locked="0" hidden="0"/>
    </dxf>
    <dxf>
      <fill>
        <patternFill patternType="solid">
          <fgColor indexed="64"/>
          <bgColor theme="5" tint="0.79998168889431442"/>
        </patternFill>
      </fill>
      <border diagonalUp="0" diagonalDown="0">
        <left style="thin">
          <color indexed="64"/>
        </left>
        <right style="thin">
          <color indexed="64"/>
        </right>
        <top/>
        <bottom/>
        <vertical/>
        <horizontal/>
      </border>
      <protection locked="0" hidden="0"/>
    </dxf>
    <dxf>
      <protection locked="1" hidden="0"/>
    </dxf>
    <dxf>
      <protection locked="1" hidden="0"/>
    </dxf>
    <dxf>
      <protection locked="1" hidden="0"/>
    </dxf>
    <dxf>
      <numFmt numFmtId="2" formatCode="0.00"/>
      <protection locked="1" hidden="0"/>
    </dxf>
    <dxf>
      <numFmt numFmtId="2" formatCode="0.00"/>
      <protection locked="1" hidden="0"/>
    </dxf>
    <dxf>
      <numFmt numFmtId="2" formatCode="0.00"/>
      <protection locked="1" hidden="0"/>
    </dxf>
    <dxf>
      <fill>
        <patternFill patternType="solid">
          <fgColor indexed="64"/>
          <bgColor theme="5" tint="0.79998168889431442"/>
        </patternFill>
      </fill>
      <protection locked="1" hidden="0"/>
    </dxf>
    <dxf>
      <protection locked="1" hidden="0"/>
    </dxf>
    <dxf>
      <fill>
        <patternFill patternType="solid">
          <fgColor indexed="64"/>
          <bgColor theme="5" tint="0.79998168889431442"/>
        </patternFill>
      </fill>
      <border diagonalUp="0" diagonalDown="0">
        <left style="thin">
          <color indexed="64"/>
        </left>
        <right style="thin">
          <color indexed="64"/>
        </right>
        <top/>
        <bottom/>
        <vertical/>
        <horizontal/>
      </border>
      <protection locked="0" hidden="0"/>
    </dxf>
    <dxf>
      <fill>
        <patternFill patternType="solid">
          <fgColor indexed="64"/>
          <bgColor theme="5" tint="0.79998168889431442"/>
        </patternFill>
      </fill>
      <border diagonalUp="0" diagonalDown="0">
        <left style="thin">
          <color indexed="64"/>
        </left>
        <right style="thin">
          <color indexed="64"/>
        </right>
        <top/>
        <bottom/>
        <vertical/>
        <horizontal/>
      </border>
      <protection locked="0" hidden="0"/>
    </dxf>
    <dxf>
      <fill>
        <patternFill patternType="solid">
          <fgColor indexed="64"/>
          <bgColor theme="5" tint="0.79998168889431442"/>
        </patternFill>
      </fill>
      <protection locked="0" hidden="0"/>
    </dxf>
    <dxf>
      <fill>
        <patternFill patternType="solid">
          <fgColor indexed="64"/>
          <bgColor theme="5" tint="0.79998168889431442"/>
        </patternFill>
      </fill>
      <border diagonalUp="0" diagonalDown="0">
        <left style="thin">
          <color indexed="64"/>
        </left>
        <right style="thin">
          <color indexed="64"/>
        </right>
        <top/>
        <bottom/>
        <vertical/>
        <horizontal/>
      </border>
      <protection locked="0" hidden="0"/>
    </dxf>
    <dxf>
      <protection locked="1" hidden="0"/>
    </dxf>
    <dxf>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solid">
          <fgColor indexed="64"/>
          <bgColor theme="5" tint="0.79998168889431442"/>
        </patternFill>
      </fill>
      <border diagonalUp="0" diagonalDown="0">
        <left/>
        <right/>
        <top style="thin">
          <color theme="4" tint="0.39997558519241921"/>
        </top>
        <bottom style="thin">
          <color theme="4" tint="0.39997558519241921"/>
        </bottom>
        <vertical/>
        <horizontal/>
      </border>
      <protection locked="0" hidden="0"/>
    </dxf>
    <dxf>
      <border outline="0">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solid">
          <fgColor indexed="64"/>
          <bgColor theme="5" tint="0.79998168889431442"/>
        </patternFill>
      </fill>
      <protection locked="0" hidden="0"/>
    </dxf>
    <dxf>
      <protection locked="1" hidden="0"/>
    </dxf>
    <dxf>
      <protection locked="1" hidden="0"/>
    </dxf>
    <dxf>
      <protection locked="1" hidden="0"/>
    </dxf>
    <dxf>
      <protection locked="1" hidden="0"/>
    </dxf>
    <dxf>
      <protection locked="1" hidden="0"/>
    </dxf>
    <dxf>
      <numFmt numFmtId="2" formatCode="0.00"/>
      <protection locked="1" hidden="0"/>
    </dxf>
    <dxf>
      <numFmt numFmtId="2" formatCode="0.00"/>
      <protection locked="1" hidden="0"/>
    </dxf>
    <dxf>
      <numFmt numFmtId="2" formatCode="0.00"/>
      <protection locked="1" hidden="0"/>
    </dxf>
    <dxf>
      <fill>
        <patternFill patternType="solid">
          <fgColor indexed="64"/>
          <bgColor theme="5" tint="0.79998168889431442"/>
        </patternFill>
      </fill>
      <protection locked="1" hidden="0"/>
    </dxf>
    <dxf>
      <protection locked="1" hidden="0"/>
    </dxf>
    <dxf>
      <fill>
        <patternFill patternType="solid">
          <fgColor indexed="64"/>
          <bgColor theme="5" tint="0.79998168889431442"/>
        </patternFill>
      </fill>
      <border diagonalUp="0" diagonalDown="0">
        <left style="thin">
          <color indexed="64"/>
        </left>
        <right/>
        <top/>
        <bottom/>
        <vertical/>
        <horizontal/>
      </border>
      <protection locked="0" hidden="0"/>
    </dxf>
    <dxf>
      <fill>
        <patternFill patternType="solid">
          <fgColor indexed="64"/>
          <bgColor theme="5" tint="0.79998168889431442"/>
        </patternFill>
      </fill>
      <protection locked="0" hidden="0"/>
    </dxf>
    <dxf>
      <fill>
        <patternFill patternType="solid">
          <fgColor indexed="64"/>
          <bgColor theme="5" tint="0.79998168889431442"/>
        </patternFill>
      </fill>
      <border diagonalUp="0" diagonalDown="0">
        <left style="thin">
          <color indexed="64"/>
        </left>
        <right style="thin">
          <color indexed="64"/>
        </right>
        <top/>
        <bottom/>
        <vertical/>
        <horizontal/>
      </border>
      <protection locked="0" hidden="0"/>
    </dxf>
    <dxf>
      <protection locked="1" hidden="0"/>
    </dxf>
    <dxf>
      <protection locked="1" hidden="0"/>
    </dxf>
    <dxf>
      <protection locked="1" hidden="0"/>
    </dxf>
    <dxf>
      <numFmt numFmtId="2" formatCode="0.00"/>
      <protection locked="1" hidden="0"/>
    </dxf>
    <dxf>
      <numFmt numFmtId="2" formatCode="0.00"/>
      <protection locked="1" hidden="0"/>
    </dxf>
    <dxf>
      <numFmt numFmtId="2" formatCode="0.00"/>
      <protection locked="1" hidden="0"/>
    </dxf>
    <dxf>
      <fill>
        <patternFill patternType="solid">
          <fgColor indexed="64"/>
          <bgColor theme="5" tint="0.79998168889431442"/>
        </patternFill>
      </fill>
      <protection locked="1" hidden="0"/>
    </dxf>
    <dxf>
      <protection locked="1" hidden="0"/>
    </dxf>
    <dxf>
      <fill>
        <patternFill patternType="solid">
          <fgColor indexed="64"/>
          <bgColor theme="5" tint="0.79998168889431442"/>
        </patternFill>
      </fill>
      <border diagonalUp="0" diagonalDown="0">
        <left style="thin">
          <color indexed="64"/>
        </left>
        <right style="thin">
          <color indexed="64"/>
        </right>
        <top/>
        <bottom/>
        <vertical/>
        <horizontal/>
      </border>
      <protection locked="0" hidden="0"/>
    </dxf>
    <dxf>
      <fill>
        <patternFill patternType="solid">
          <fgColor indexed="64"/>
          <bgColor theme="5" tint="0.79998168889431442"/>
        </patternFill>
      </fill>
      <border diagonalUp="0" diagonalDown="0">
        <left style="thin">
          <color indexed="64"/>
        </left>
        <right style="thin">
          <color indexed="64"/>
        </right>
        <top/>
        <bottom/>
        <vertical/>
        <horizontal/>
      </border>
      <protection locked="0" hidden="0"/>
    </dxf>
    <dxf>
      <fill>
        <patternFill patternType="solid">
          <fgColor indexed="64"/>
          <bgColor theme="5" tint="0.79998168889431442"/>
        </patternFill>
      </fill>
      <protection locked="0" hidden="0"/>
    </dxf>
    <dxf>
      <fill>
        <patternFill patternType="solid">
          <fgColor indexed="64"/>
          <bgColor theme="5" tint="0.79998168889431442"/>
        </patternFill>
      </fill>
      <border diagonalUp="0" diagonalDown="0">
        <left style="thin">
          <color indexed="64"/>
        </left>
        <right style="thin">
          <color indexed="64"/>
        </right>
        <top/>
        <bottom/>
        <vertical/>
        <horizontal/>
      </border>
      <protection locked="0" hidden="0"/>
    </dxf>
    <dxf>
      <protection locked="1" hidden="0"/>
    </dxf>
    <dxf>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solid">
          <fgColor indexed="64"/>
          <bgColor theme="5" tint="0.79998168889431442"/>
        </patternFill>
      </fill>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5" tint="0.79998168889431442"/>
        </patternFill>
      </fill>
      <protection locked="0" hidden="0"/>
    </dxf>
    <dxf>
      <protection hidden="0"/>
    </dxf>
    <dxf>
      <protection hidden="0"/>
    </dxf>
    <dxf>
      <protection hidden="0"/>
    </dxf>
    <dxf>
      <protection hidden="0"/>
    </dxf>
    <dxf>
      <protection hidden="0"/>
    </dxf>
    <dxf>
      <protection hidden="0"/>
    </dxf>
    <dxf>
      <numFmt numFmtId="2" formatCode="0.00"/>
      <protection hidden="0"/>
    </dxf>
    <dxf>
      <numFmt numFmtId="2" formatCode="0.00"/>
      <protection hidden="0"/>
    </dxf>
    <dxf>
      <fill>
        <patternFill patternType="solid">
          <fgColor indexed="64"/>
          <bgColor theme="5" tint="0.79998168889431442"/>
        </patternFill>
      </fill>
      <protection hidden="0"/>
    </dxf>
    <dxf>
      <protection hidden="0"/>
    </dxf>
    <dxf>
      <fill>
        <patternFill patternType="solid">
          <fgColor indexed="64"/>
          <bgColor theme="5" tint="0.79998168889431442"/>
        </patternFill>
      </fill>
      <border diagonalUp="0" diagonalDown="0">
        <left style="thin">
          <color indexed="64"/>
        </left>
        <right/>
        <top/>
        <bottom/>
        <vertical/>
        <horizontal/>
      </border>
      <protection hidden="0"/>
    </dxf>
    <dxf>
      <fill>
        <patternFill patternType="solid">
          <fgColor indexed="64"/>
          <bgColor theme="5" tint="0.79998168889431442"/>
        </patternFill>
      </fill>
      <protection hidden="0"/>
    </dxf>
    <dxf>
      <fill>
        <patternFill patternType="solid">
          <fgColor indexed="64"/>
          <bgColor theme="5" tint="0.79998168889431442"/>
        </patternFill>
      </fill>
      <border diagonalUp="0" diagonalDown="0">
        <left style="thin">
          <color indexed="64"/>
        </left>
        <right style="thin">
          <color indexed="64"/>
        </right>
        <top/>
        <bottom/>
        <vertical/>
        <horizontal/>
      </border>
      <protection hidden="0"/>
    </dxf>
    <dxf>
      <protection hidden="0"/>
    </dxf>
    <dxf>
      <protection hidden="0"/>
    </dxf>
    <dxf>
      <protection hidden="0"/>
    </dxf>
    <dxf>
      <protection hidden="0"/>
    </dxf>
    <dxf>
      <numFmt numFmtId="2" formatCode="0.00"/>
      <protection hidden="0"/>
    </dxf>
    <dxf>
      <numFmt numFmtId="2" formatCode="0.00"/>
      <protection hidden="0"/>
    </dxf>
    <dxf>
      <fill>
        <patternFill patternType="solid">
          <fgColor indexed="64"/>
          <bgColor theme="5" tint="0.79998168889431442"/>
        </patternFill>
      </fill>
      <protection hidden="0"/>
    </dxf>
    <dxf>
      <protection hidden="0"/>
    </dxf>
    <dxf>
      <fill>
        <patternFill patternType="solid">
          <fgColor indexed="64"/>
          <bgColor theme="5" tint="0.79998168889431442"/>
        </patternFill>
      </fill>
      <border diagonalUp="0" diagonalDown="0">
        <left style="thin">
          <color indexed="64"/>
        </left>
        <right style="thin">
          <color indexed="64"/>
        </right>
        <top/>
        <bottom/>
        <vertical/>
        <horizontal/>
      </border>
      <protection hidden="0"/>
    </dxf>
    <dxf>
      <fill>
        <patternFill patternType="solid">
          <fgColor indexed="64"/>
          <bgColor theme="5" tint="0.79998168889431442"/>
        </patternFill>
      </fill>
      <border diagonalUp="0" diagonalDown="0">
        <left style="thin">
          <color indexed="64"/>
        </left>
        <right style="thin">
          <color indexed="64"/>
        </right>
        <top/>
        <bottom/>
        <vertical/>
        <horizontal/>
      </border>
      <protection hidden="0"/>
    </dxf>
    <dxf>
      <fill>
        <patternFill patternType="solid">
          <fgColor indexed="64"/>
          <bgColor theme="5" tint="0.79998168889431442"/>
        </patternFill>
      </fill>
      <protection hidden="0"/>
    </dxf>
    <dxf>
      <fill>
        <patternFill patternType="solid">
          <fgColor indexed="64"/>
          <bgColor theme="5" tint="0.79998168889431442"/>
        </patternFill>
      </fill>
      <border diagonalUp="0" diagonalDown="0">
        <left style="thin">
          <color indexed="64"/>
        </left>
        <right style="thin">
          <color indexed="64"/>
        </right>
        <top/>
        <bottom/>
        <vertical/>
        <horizontal/>
      </border>
      <protection hidden="0"/>
    </dxf>
    <dxf>
      <protection hidden="0"/>
    </dxf>
    <dxf>
      <protection hidden="0"/>
    </dxf>
    <dxf>
      <protection hidden="0"/>
    </dxf>
    <dxf>
      <numFmt numFmtId="0" formatCode="General"/>
    </dxf>
    <dxf>
      <numFmt numFmtId="164" formatCode="0.0"/>
    </dxf>
    <dxf>
      <numFmt numFmtId="2" formatCode="0.00"/>
    </dxf>
    <dxf>
      <numFmt numFmtId="2" formatCode="0.00"/>
    </dxf>
    <dxf>
      <fill>
        <patternFill patternType="solid">
          <fgColor indexed="64"/>
          <bgColor theme="5" tint="0.79998168889431442"/>
        </patternFill>
      </fill>
      <protection locked="0" hidden="0"/>
    </dxf>
    <dxf>
      <fill>
        <patternFill patternType="solid">
          <fgColor indexed="64"/>
          <bgColor theme="5" tint="0.79998168889431442"/>
        </patternFill>
      </fill>
      <protection locked="0" hidden="0"/>
    </dxf>
    <dxf>
      <fill>
        <patternFill patternType="solid">
          <fgColor indexed="64"/>
          <bgColor theme="5" tint="0.79998168889431442"/>
        </patternFill>
      </fill>
      <protection locked="0" hidden="0"/>
    </dxf>
    <dxf>
      <fill>
        <patternFill patternType="solid">
          <fgColor indexed="64"/>
          <bgColor theme="5" tint="0.79998168889431442"/>
        </patternFill>
      </fill>
      <protection locked="0" hidden="0"/>
    </dxf>
    <dxf>
      <fill>
        <patternFill patternType="solid">
          <fgColor indexed="64"/>
          <bgColor theme="5" tint="0.79998168889431442"/>
        </patternFill>
      </fill>
      <alignment horizontal="center" vertical="center" textRotation="0" wrapText="0" indent="0" justifyLastLine="0" shrinkToFit="0" readingOrder="0"/>
      <protection locked="0" hidden="0"/>
    </dxf>
    <dxf>
      <border outline="0">
        <bottom style="thin">
          <color indexed="64"/>
        </bottom>
      </border>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dxf>
    <dxf>
      <numFmt numFmtId="0" formatCode="General"/>
    </dxf>
    <dxf>
      <fill>
        <patternFill patternType="solid">
          <fgColor indexed="64"/>
          <bgColor theme="5" tint="0.79998168889431442"/>
        </patternFill>
      </fill>
      <border diagonalUp="0" diagonalDown="0">
        <left/>
        <right style="medium">
          <color indexed="64"/>
        </right>
        <vertical/>
      </border>
      <protection locked="0" hidden="0"/>
    </dxf>
    <dxf>
      <fill>
        <patternFill patternType="solid">
          <fgColor indexed="64"/>
          <bgColor theme="5" tint="0.79998168889431442"/>
        </patternFill>
      </fill>
      <border diagonalUp="0" diagonalDown="0">
        <left style="medium">
          <color indexed="64"/>
        </left>
        <right/>
        <vertical/>
      </border>
      <protection locked="0" hidden="0"/>
    </dxf>
    <dxf>
      <numFmt numFmtId="0" formatCode="General"/>
    </dxf>
    <dxf>
      <numFmt numFmtId="0" formatCode="General"/>
    </dxf>
    <dxf>
      <numFmt numFmtId="0" formatCode="General"/>
    </dxf>
    <dxf>
      <numFmt numFmtId="0" formatCode="General"/>
    </dxf>
    <dxf>
      <numFmt numFmtId="0" formatCode="General"/>
      <fill>
        <patternFill patternType="solid">
          <fgColor indexed="64"/>
          <bgColor theme="5" tint="0.79998168889431442"/>
        </patternFill>
      </fill>
    </dxf>
    <dxf>
      <numFmt numFmtId="0" formatCode="General"/>
      <fill>
        <patternFill patternType="solid">
          <fgColor indexed="64"/>
          <bgColor theme="5" tint="0.79998168889431442"/>
        </patternFill>
      </fill>
      <protection locked="0" hidden="0"/>
    </dxf>
    <dxf>
      <fill>
        <patternFill patternType="solid">
          <fgColor indexed="64"/>
          <bgColor theme="5" tint="0.79998168889431442"/>
        </patternFill>
      </fill>
      <protection locked="0" hidden="0"/>
    </dxf>
    <dxf>
      <numFmt numFmtId="0" formatCode="General"/>
      <fill>
        <patternFill patternType="solid">
          <fgColor indexed="64"/>
          <bgColor theme="5" tint="0.79998168889431442"/>
        </patternFill>
      </fill>
      <protection locked="0" hidden="0"/>
    </dxf>
    <dxf>
      <fill>
        <patternFill patternType="solid">
          <fgColor indexed="64"/>
          <bgColor theme="5" tint="0.79998168889431442"/>
        </patternFill>
      </fill>
      <protection locked="0" hidden="0"/>
    </dxf>
    <dxf>
      <fill>
        <patternFill patternType="solid">
          <fgColor indexed="64"/>
          <bgColor theme="5" tint="0.79998168889431442"/>
        </patternFill>
      </fill>
      <protection locked="0" hidden="0"/>
    </dxf>
    <dxf>
      <protection locked="0" hidden="0"/>
    </dxf>
    <dxf>
      <numFmt numFmtId="0" formatCode="General"/>
      <fill>
        <patternFill patternType="solid">
          <fgColor indexed="64"/>
          <bgColor theme="5" tint="0.79998168889431442"/>
        </patternFill>
      </fill>
      <protection locked="0" hidden="0"/>
    </dxf>
    <dxf>
      <fill>
        <patternFill patternType="solid">
          <fgColor indexed="64"/>
          <bgColor theme="5" tint="0.79998168889431442"/>
        </patternFill>
      </fill>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1st</a:t>
            </a:r>
            <a:r>
              <a:rPr lang="en-US" baseline="0"/>
              <a:t> Floor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1553470041931573E-2"/>
          <c:y val="3.3246450254324274E-2"/>
          <c:w val="0.93106150478374927"/>
          <c:h val="0.9272125913359538"/>
        </c:manualLayout>
      </c:layout>
      <c:scatterChart>
        <c:scatterStyle val="lineMarker"/>
        <c:varyColors val="0"/>
        <c:ser>
          <c:idx val="1"/>
          <c:order val="0"/>
          <c:tx>
            <c:v>1st Floor</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'1st Floor'!$H$35:$H$66</c:f>
              <c:numCache>
                <c:formatCode>0.00</c:formatCode>
                <c:ptCount val="32"/>
                <c:pt idx="0">
                  <c:v>0</c:v>
                </c:pt>
                <c:pt idx="1">
                  <c:v>15</c:v>
                </c:pt>
                <c:pt idx="2">
                  <c:v>15</c:v>
                </c:pt>
                <c:pt idx="3">
                  <c:v>30</c:v>
                </c:pt>
                <c:pt idx="4">
                  <c:v>30</c:v>
                </c:pt>
                <c:pt idx="5">
                  <c:v>40</c:v>
                </c:pt>
                <c:pt idx="6">
                  <c:v>40</c:v>
                </c:pt>
                <c:pt idx="7">
                  <c:v>20</c:v>
                </c:pt>
                <c:pt idx="8">
                  <c:v>19.999999999999996</c:v>
                </c:pt>
                <c:pt idx="9">
                  <c:v>14.999999999999996</c:v>
                </c:pt>
                <c:pt idx="10">
                  <c:v>14.999999999999996</c:v>
                </c:pt>
                <c:pt idx="11">
                  <c:v>-3.5527136788005009E-15</c:v>
                </c:pt>
                <c:pt idx="12">
                  <c:v>-1.4087038827104159E-15</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xVal>
          <c:yVal>
            <c:numRef>
              <c:f>'1st Floor'!$I$35:$I$66</c:f>
              <c:numCache>
                <c:formatCode>0.00</c:formatCode>
                <c:ptCount val="32"/>
                <c:pt idx="0">
                  <c:v>0</c:v>
                </c:pt>
                <c:pt idx="1">
                  <c:v>0</c:v>
                </c:pt>
                <c:pt idx="2">
                  <c:v>5</c:v>
                </c:pt>
                <c:pt idx="3">
                  <c:v>5</c:v>
                </c:pt>
                <c:pt idx="4">
                  <c:v>0</c:v>
                </c:pt>
                <c:pt idx="5">
                  <c:v>0</c:v>
                </c:pt>
                <c:pt idx="6">
                  <c:v>-15</c:v>
                </c:pt>
                <c:pt idx="7">
                  <c:v>-14.999999999999998</c:v>
                </c:pt>
                <c:pt idx="8">
                  <c:v>-32</c:v>
                </c:pt>
                <c:pt idx="9">
                  <c:v>-32</c:v>
                </c:pt>
                <c:pt idx="10">
                  <c:v>-35</c:v>
                </c:pt>
                <c:pt idx="11">
                  <c:v>-35</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yVal>
          <c:smooth val="0"/>
          <c:extLst>
            <c:ext xmlns:c16="http://schemas.microsoft.com/office/drawing/2014/chart" uri="{C3380CC4-5D6E-409C-BE32-E72D297353CC}">
              <c16:uniqueId val="{00000001-8821-43EC-B038-9BA69D2AA389}"/>
            </c:ext>
          </c:extLst>
        </c:ser>
        <c:ser>
          <c:idx val="0"/>
          <c:order val="1"/>
          <c:tx>
            <c:v>Basement</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'Bsmt-Found'!$H$32:$H$62</c:f>
              <c:numCache>
                <c:formatCode>0.00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xVal>
          <c:yVal>
            <c:numRef>
              <c:f>'Bsmt-Found'!$I$32:$I$62</c:f>
              <c:numCache>
                <c:formatCode>0.00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yVal>
          <c:smooth val="0"/>
          <c:extLst>
            <c:ext xmlns:c16="http://schemas.microsoft.com/office/drawing/2014/chart" uri="{C3380CC4-5D6E-409C-BE32-E72D297353CC}">
              <c16:uniqueId val="{00000000-2F2B-48E0-B369-646FA17AEAB7}"/>
            </c:ext>
          </c:extLst>
        </c:ser>
        <c:ser>
          <c:idx val="2"/>
          <c:order val="2"/>
          <c:tx>
            <c:v>Overlapping area</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'1st Floor'!$R$35:$R$66</c:f>
              <c:numCache>
                <c:formatCode>0.00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xVal>
          <c:yVal>
            <c:numRef>
              <c:f>'1st Floor'!$S$35:$S$66</c:f>
              <c:numCache>
                <c:formatCode>0.00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yVal>
          <c:smooth val="0"/>
          <c:extLst>
            <c:ext xmlns:c16="http://schemas.microsoft.com/office/drawing/2014/chart" uri="{C3380CC4-5D6E-409C-BE32-E72D297353CC}">
              <c16:uniqueId val="{00000001-8BF5-4C69-AA72-AFEF94DA6EFB}"/>
            </c:ext>
          </c:extLst>
        </c:ser>
        <c:dLbls>
          <c:showLegendKey val="0"/>
          <c:showVal val="0"/>
          <c:showCatName val="0"/>
          <c:showSerName val="0"/>
          <c:showPercent val="0"/>
          <c:showBubbleSize val="0"/>
        </c:dLbls>
        <c:axId val="1196828432"/>
        <c:axId val="945789056"/>
      </c:scatterChart>
      <c:valAx>
        <c:axId val="1196828432"/>
        <c:scaling>
          <c:orientation val="minMax"/>
          <c:max val="100"/>
          <c:min val="-100"/>
        </c:scaling>
        <c:delete val="0"/>
        <c:axPos val="b"/>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5789056"/>
        <c:crossesAt val="-80"/>
        <c:crossBetween val="midCat"/>
        <c:majorUnit val="20"/>
        <c:minorUnit val="20"/>
      </c:valAx>
      <c:valAx>
        <c:axId val="945789056"/>
        <c:scaling>
          <c:orientation val="minMax"/>
          <c:max val="100"/>
          <c:min val="-100"/>
        </c:scaling>
        <c:delete val="0"/>
        <c:axPos val="r"/>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6828432"/>
        <c:crosses val="max"/>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2nd Floor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1553470041931573E-2"/>
          <c:y val="3.3246450254324274E-2"/>
          <c:w val="0.93106150478374927"/>
          <c:h val="0.9272125913359538"/>
        </c:manualLayout>
      </c:layout>
      <c:scatterChart>
        <c:scatterStyle val="lineMarker"/>
        <c:varyColors val="0"/>
        <c:ser>
          <c:idx val="1"/>
          <c:order val="0"/>
          <c:tx>
            <c:strRef>
              <c:f>'1st Floor'!$A$32:$I$32</c:f>
              <c:strCache>
                <c:ptCount val="1"/>
                <c:pt idx="0">
                  <c:v>First Floor</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'1st Floor'!$H$35:$H$66</c:f>
              <c:numCache>
                <c:formatCode>0.00</c:formatCode>
                <c:ptCount val="32"/>
                <c:pt idx="0">
                  <c:v>0</c:v>
                </c:pt>
                <c:pt idx="1">
                  <c:v>15</c:v>
                </c:pt>
                <c:pt idx="2">
                  <c:v>15</c:v>
                </c:pt>
                <c:pt idx="3">
                  <c:v>30</c:v>
                </c:pt>
                <c:pt idx="4">
                  <c:v>30</c:v>
                </c:pt>
                <c:pt idx="5">
                  <c:v>40</c:v>
                </c:pt>
                <c:pt idx="6">
                  <c:v>40</c:v>
                </c:pt>
                <c:pt idx="7">
                  <c:v>20</c:v>
                </c:pt>
                <c:pt idx="8">
                  <c:v>19.999999999999996</c:v>
                </c:pt>
                <c:pt idx="9">
                  <c:v>14.999999999999996</c:v>
                </c:pt>
                <c:pt idx="10">
                  <c:v>14.999999999999996</c:v>
                </c:pt>
                <c:pt idx="11">
                  <c:v>-3.5527136788005009E-15</c:v>
                </c:pt>
                <c:pt idx="12">
                  <c:v>-1.4087038827104159E-15</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xVal>
          <c:yVal>
            <c:numRef>
              <c:f>'1st Floor'!$I$35:$I$66</c:f>
              <c:numCache>
                <c:formatCode>0.00</c:formatCode>
                <c:ptCount val="32"/>
                <c:pt idx="0">
                  <c:v>0</c:v>
                </c:pt>
                <c:pt idx="1">
                  <c:v>0</c:v>
                </c:pt>
                <c:pt idx="2">
                  <c:v>5</c:v>
                </c:pt>
                <c:pt idx="3">
                  <c:v>5</c:v>
                </c:pt>
                <c:pt idx="4">
                  <c:v>0</c:v>
                </c:pt>
                <c:pt idx="5">
                  <c:v>0</c:v>
                </c:pt>
                <c:pt idx="6">
                  <c:v>-15</c:v>
                </c:pt>
                <c:pt idx="7">
                  <c:v>-14.999999999999998</c:v>
                </c:pt>
                <c:pt idx="8">
                  <c:v>-32</c:v>
                </c:pt>
                <c:pt idx="9">
                  <c:v>-32</c:v>
                </c:pt>
                <c:pt idx="10">
                  <c:v>-35</c:v>
                </c:pt>
                <c:pt idx="11">
                  <c:v>-35</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yVal>
          <c:smooth val="0"/>
          <c:extLst>
            <c:ext xmlns:c16="http://schemas.microsoft.com/office/drawing/2014/chart" uri="{C3380CC4-5D6E-409C-BE32-E72D297353CC}">
              <c16:uniqueId val="{00000000-5B01-49B1-B287-4873774915C2}"/>
            </c:ext>
          </c:extLst>
        </c:ser>
        <c:ser>
          <c:idx val="0"/>
          <c:order val="1"/>
          <c:tx>
            <c:strRef>
              <c:f>'2nd Floor'!$A$32:$I$32</c:f>
              <c:strCache>
                <c:ptCount val="1"/>
                <c:pt idx="0">
                  <c:v>Second Floor</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'2nd Floor'!$H$35:$H$66</c:f>
              <c:numCache>
                <c:formatCode>0.00</c:formatCode>
                <c:ptCount val="32"/>
                <c:pt idx="0">
                  <c:v>0</c:v>
                </c:pt>
                <c:pt idx="1">
                  <c:v>40</c:v>
                </c:pt>
                <c:pt idx="2">
                  <c:v>40</c:v>
                </c:pt>
                <c:pt idx="3">
                  <c:v>0</c:v>
                </c:pt>
                <c:pt idx="4">
                  <c:v>9.1886134118146501E-16</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xVal>
          <c:yVal>
            <c:numRef>
              <c:f>'2nd Floor'!$I$35:$I$66</c:f>
              <c:numCache>
                <c:formatCode>0.00</c:formatCode>
                <c:ptCount val="32"/>
                <c:pt idx="0">
                  <c:v>-10</c:v>
                </c:pt>
                <c:pt idx="1">
                  <c:v>-10</c:v>
                </c:pt>
                <c:pt idx="2">
                  <c:v>-25</c:v>
                </c:pt>
                <c:pt idx="3">
                  <c:v>-24.999999999999996</c:v>
                </c:pt>
                <c:pt idx="4">
                  <c:v>-9.9999999999999964</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numCache>
            </c:numRef>
          </c:yVal>
          <c:smooth val="0"/>
          <c:extLst>
            <c:ext xmlns:c16="http://schemas.microsoft.com/office/drawing/2014/chart" uri="{C3380CC4-5D6E-409C-BE32-E72D297353CC}">
              <c16:uniqueId val="{00000001-5B01-49B1-B287-4873774915C2}"/>
            </c:ext>
          </c:extLst>
        </c:ser>
        <c:ser>
          <c:idx val="2"/>
          <c:order val="2"/>
          <c:tx>
            <c:strRef>
              <c:f>'2nd Floor'!$L$32:$T$32</c:f>
              <c:strCache>
                <c:ptCount val="1"/>
                <c:pt idx="0">
                  <c:v>Second Floor rim joist</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'2nd Floor'!$R$35:$R$66</c:f>
              <c:numCache>
                <c:formatCode>0.00</c:formatCode>
                <c:ptCount val="32"/>
                <c:pt idx="0">
                  <c:v>0</c:v>
                </c:pt>
                <c:pt idx="1">
                  <c:v>40</c:v>
                </c:pt>
                <c:pt idx="2">
                  <c:v>40</c:v>
                </c:pt>
                <c:pt idx="3">
                  <c:v>20</c:v>
                </c:pt>
                <c:pt idx="4">
                  <c:v>19.999999999999996</c:v>
                </c:pt>
                <c:pt idx="5">
                  <c:v>-3.5527136788005009E-15</c:v>
                </c:pt>
                <c:pt idx="6">
                  <c:v>-2.6338523376190359E-15</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xVal>
          <c:yVal>
            <c:numRef>
              <c:f>'2nd Floor'!$S$35:$S$66</c:f>
              <c:numCache>
                <c:formatCode>0.00</c:formatCode>
                <c:ptCount val="32"/>
                <c:pt idx="0">
                  <c:v>-10</c:v>
                </c:pt>
                <c:pt idx="1">
                  <c:v>-10</c:v>
                </c:pt>
                <c:pt idx="2">
                  <c:v>-15</c:v>
                </c:pt>
                <c:pt idx="3">
                  <c:v>-14.999999999999998</c:v>
                </c:pt>
                <c:pt idx="4">
                  <c:v>-25</c:v>
                </c:pt>
                <c:pt idx="5">
                  <c:v>-24.999999999999996</c:v>
                </c:pt>
                <c:pt idx="6">
                  <c:v>-9.9999999999999964</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numCache>
            </c:numRef>
          </c:yVal>
          <c:smooth val="0"/>
          <c:extLst>
            <c:ext xmlns:c16="http://schemas.microsoft.com/office/drawing/2014/chart" uri="{C3380CC4-5D6E-409C-BE32-E72D297353CC}">
              <c16:uniqueId val="{00000002-5B01-49B1-B287-4873774915C2}"/>
            </c:ext>
          </c:extLst>
        </c:ser>
        <c:dLbls>
          <c:showLegendKey val="0"/>
          <c:showVal val="0"/>
          <c:showCatName val="0"/>
          <c:showSerName val="0"/>
          <c:showPercent val="0"/>
          <c:showBubbleSize val="0"/>
        </c:dLbls>
        <c:axId val="1196828432"/>
        <c:axId val="945789056"/>
      </c:scatterChart>
      <c:valAx>
        <c:axId val="1196828432"/>
        <c:scaling>
          <c:orientation val="minMax"/>
          <c:max val="100"/>
          <c:min val="-100"/>
        </c:scaling>
        <c:delete val="0"/>
        <c:axPos val="b"/>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5789056"/>
        <c:crossesAt val="-80"/>
        <c:crossBetween val="midCat"/>
        <c:majorUnit val="20"/>
        <c:minorUnit val="20"/>
      </c:valAx>
      <c:valAx>
        <c:axId val="945789056"/>
        <c:scaling>
          <c:orientation val="minMax"/>
          <c:max val="100"/>
          <c:min val="-100"/>
        </c:scaling>
        <c:delete val="0"/>
        <c:axPos val="r"/>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6828432"/>
        <c:crosses val="max"/>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3rd</a:t>
            </a:r>
            <a:r>
              <a:rPr lang="en-US" baseline="0"/>
              <a:t> Floor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1553470041931573E-2"/>
          <c:y val="3.3246450254324274E-2"/>
          <c:w val="0.93106150478374927"/>
          <c:h val="0.9272125913359538"/>
        </c:manualLayout>
      </c:layout>
      <c:scatterChart>
        <c:scatterStyle val="lineMarker"/>
        <c:varyColors val="0"/>
        <c:ser>
          <c:idx val="1"/>
          <c:order val="0"/>
          <c:tx>
            <c:strRef>
              <c:f>'2nd Floor'!$A$32:$I$32</c:f>
              <c:strCache>
                <c:ptCount val="1"/>
                <c:pt idx="0">
                  <c:v>Second Floor</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'2nd Floor'!$H$35:$H$66</c:f>
              <c:numCache>
                <c:formatCode>0.00</c:formatCode>
                <c:ptCount val="32"/>
                <c:pt idx="0">
                  <c:v>0</c:v>
                </c:pt>
                <c:pt idx="1">
                  <c:v>40</c:v>
                </c:pt>
                <c:pt idx="2">
                  <c:v>40</c:v>
                </c:pt>
                <c:pt idx="3">
                  <c:v>0</c:v>
                </c:pt>
                <c:pt idx="4">
                  <c:v>9.1886134118146501E-16</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xVal>
          <c:yVal>
            <c:numRef>
              <c:f>'2nd Floor'!$I$35:$I$66</c:f>
              <c:numCache>
                <c:formatCode>0.00</c:formatCode>
                <c:ptCount val="32"/>
                <c:pt idx="0">
                  <c:v>-10</c:v>
                </c:pt>
                <c:pt idx="1">
                  <c:v>-10</c:v>
                </c:pt>
                <c:pt idx="2">
                  <c:v>-25</c:v>
                </c:pt>
                <c:pt idx="3">
                  <c:v>-24.999999999999996</c:v>
                </c:pt>
                <c:pt idx="4">
                  <c:v>-9.9999999999999964</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numCache>
            </c:numRef>
          </c:yVal>
          <c:smooth val="0"/>
          <c:extLst>
            <c:ext xmlns:c16="http://schemas.microsoft.com/office/drawing/2014/chart" uri="{C3380CC4-5D6E-409C-BE32-E72D297353CC}">
              <c16:uniqueId val="{00000000-56E6-431B-8EF3-12C95C43C8A6}"/>
            </c:ext>
          </c:extLst>
        </c:ser>
        <c:ser>
          <c:idx val="0"/>
          <c:order val="1"/>
          <c:tx>
            <c:strRef>
              <c:f>'3rd Floor'!$A$32:$I$32</c:f>
              <c:strCache>
                <c:ptCount val="1"/>
                <c:pt idx="0">
                  <c:v>Third Floor</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'3rd Floor'!$H$35:$H$66</c:f>
              <c:numCache>
                <c:formatCode>0.00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xVal>
          <c:yVal>
            <c:numRef>
              <c:f>'3rd Floor'!$I$35:$I$66</c:f>
              <c:numCache>
                <c:formatCode>0.00</c:formatCode>
                <c:ptCount val="32"/>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-15</c:v>
                </c:pt>
                <c:pt idx="24">
                  <c:v>-15</c:v>
                </c:pt>
                <c:pt idx="25">
                  <c:v>-15</c:v>
                </c:pt>
                <c:pt idx="26">
                  <c:v>-15</c:v>
                </c:pt>
                <c:pt idx="27">
                  <c:v>-15</c:v>
                </c:pt>
                <c:pt idx="28">
                  <c:v>-15</c:v>
                </c:pt>
                <c:pt idx="29">
                  <c:v>-15</c:v>
                </c:pt>
                <c:pt idx="30">
                  <c:v>-15</c:v>
                </c:pt>
                <c:pt idx="31">
                  <c:v>-15</c:v>
                </c:pt>
              </c:numCache>
            </c:numRef>
          </c:yVal>
          <c:smooth val="0"/>
          <c:extLst>
            <c:ext xmlns:c16="http://schemas.microsoft.com/office/drawing/2014/chart" uri="{C3380CC4-5D6E-409C-BE32-E72D297353CC}">
              <c16:uniqueId val="{00000001-56E6-431B-8EF3-12C95C43C8A6}"/>
            </c:ext>
          </c:extLst>
        </c:ser>
        <c:ser>
          <c:idx val="2"/>
          <c:order val="2"/>
          <c:tx>
            <c:strRef>
              <c:f>'3rd Floor'!$L$32:$T$32</c:f>
              <c:strCache>
                <c:ptCount val="1"/>
                <c:pt idx="0">
                  <c:v>Third Floor rim joist</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'3rd Floor'!$R$35:$R$66</c:f>
              <c:numCache>
                <c:formatCode>0.00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xVal>
          <c:yVal>
            <c:numRef>
              <c:f>'3rd Floor'!$S$35:$S$66</c:f>
              <c:numCache>
                <c:formatCode>0.00</c:formatCode>
                <c:ptCount val="32"/>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-15</c:v>
                </c:pt>
                <c:pt idx="24">
                  <c:v>-15</c:v>
                </c:pt>
                <c:pt idx="25">
                  <c:v>-15</c:v>
                </c:pt>
                <c:pt idx="26">
                  <c:v>-15</c:v>
                </c:pt>
                <c:pt idx="27">
                  <c:v>-15</c:v>
                </c:pt>
                <c:pt idx="28">
                  <c:v>-15</c:v>
                </c:pt>
                <c:pt idx="29">
                  <c:v>-15</c:v>
                </c:pt>
                <c:pt idx="30">
                  <c:v>-15</c:v>
                </c:pt>
                <c:pt idx="31">
                  <c:v>-15</c:v>
                </c:pt>
              </c:numCache>
            </c:numRef>
          </c:yVal>
          <c:smooth val="0"/>
          <c:extLst>
            <c:ext xmlns:c16="http://schemas.microsoft.com/office/drawing/2014/chart" uri="{C3380CC4-5D6E-409C-BE32-E72D297353CC}">
              <c16:uniqueId val="{00000002-56E6-431B-8EF3-12C95C43C8A6}"/>
            </c:ext>
          </c:extLst>
        </c:ser>
        <c:dLbls>
          <c:showLegendKey val="0"/>
          <c:showVal val="0"/>
          <c:showCatName val="0"/>
          <c:showSerName val="0"/>
          <c:showPercent val="0"/>
          <c:showBubbleSize val="0"/>
        </c:dLbls>
        <c:axId val="1196828432"/>
        <c:axId val="945789056"/>
      </c:scatterChart>
      <c:valAx>
        <c:axId val="1196828432"/>
        <c:scaling>
          <c:orientation val="minMax"/>
          <c:max val="100"/>
          <c:min val="-100"/>
        </c:scaling>
        <c:delete val="0"/>
        <c:axPos val="b"/>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5789056"/>
        <c:crossesAt val="-80"/>
        <c:crossBetween val="midCat"/>
        <c:majorUnit val="20"/>
        <c:minorUnit val="20"/>
      </c:valAx>
      <c:valAx>
        <c:axId val="945789056"/>
        <c:scaling>
          <c:orientation val="minMax"/>
          <c:max val="100"/>
          <c:min val="-100"/>
        </c:scaling>
        <c:delete val="0"/>
        <c:axPos val="r"/>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6828432"/>
        <c:crosses val="max"/>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4th</a:t>
            </a:r>
            <a:r>
              <a:rPr lang="en-US" baseline="0"/>
              <a:t> Floor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1553470041931573E-2"/>
          <c:y val="3.3246450254324274E-2"/>
          <c:w val="0.93106150478374927"/>
          <c:h val="0.9272125913359538"/>
        </c:manualLayout>
      </c:layout>
      <c:scatterChart>
        <c:scatterStyle val="lineMarker"/>
        <c:varyColors val="0"/>
        <c:ser>
          <c:idx val="1"/>
          <c:order val="0"/>
          <c:tx>
            <c:strRef>
              <c:f>'3rd Floor'!$A$32:$I$32</c:f>
              <c:strCache>
                <c:ptCount val="1"/>
                <c:pt idx="0">
                  <c:v>Third Floor</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'3rd Floor'!$H$35:$H$66</c:f>
              <c:numCache>
                <c:formatCode>0.00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xVal>
          <c:yVal>
            <c:numRef>
              <c:f>'3rd Floor'!$I$35:$I$66</c:f>
              <c:numCache>
                <c:formatCode>0.00</c:formatCode>
                <c:ptCount val="32"/>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-15</c:v>
                </c:pt>
                <c:pt idx="24">
                  <c:v>-15</c:v>
                </c:pt>
                <c:pt idx="25">
                  <c:v>-15</c:v>
                </c:pt>
                <c:pt idx="26">
                  <c:v>-15</c:v>
                </c:pt>
                <c:pt idx="27">
                  <c:v>-15</c:v>
                </c:pt>
                <c:pt idx="28">
                  <c:v>-15</c:v>
                </c:pt>
                <c:pt idx="29">
                  <c:v>-15</c:v>
                </c:pt>
                <c:pt idx="30">
                  <c:v>-15</c:v>
                </c:pt>
                <c:pt idx="31">
                  <c:v>-15</c:v>
                </c:pt>
              </c:numCache>
            </c:numRef>
          </c:yVal>
          <c:smooth val="0"/>
          <c:extLst>
            <c:ext xmlns:c16="http://schemas.microsoft.com/office/drawing/2014/chart" uri="{C3380CC4-5D6E-409C-BE32-E72D297353CC}">
              <c16:uniqueId val="{00000000-54B8-4C6C-8B2D-D020B25FD4FC}"/>
            </c:ext>
          </c:extLst>
        </c:ser>
        <c:ser>
          <c:idx val="0"/>
          <c:order val="1"/>
          <c:tx>
            <c:strRef>
              <c:f>'4th Floor'!$A$32:$I$32</c:f>
              <c:strCache>
                <c:ptCount val="1"/>
                <c:pt idx="0">
                  <c:v>Fourth Floor</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'4th Floor'!$H$35:$H$66</c:f>
              <c:numCache>
                <c:formatCode>0.00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xVal>
          <c:yVal>
            <c:numRef>
              <c:f>'4th Floor'!$I$35:$I$66</c:f>
              <c:numCache>
                <c:formatCode>0.00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yVal>
          <c:smooth val="0"/>
          <c:extLst>
            <c:ext xmlns:c16="http://schemas.microsoft.com/office/drawing/2014/chart" uri="{C3380CC4-5D6E-409C-BE32-E72D297353CC}">
              <c16:uniqueId val="{00000001-54B8-4C6C-8B2D-D020B25FD4FC}"/>
            </c:ext>
          </c:extLst>
        </c:ser>
        <c:ser>
          <c:idx val="2"/>
          <c:order val="2"/>
          <c:tx>
            <c:strRef>
              <c:f>'4th Floor'!$L$32:$T$32</c:f>
              <c:strCache>
                <c:ptCount val="1"/>
                <c:pt idx="0">
                  <c:v>Fourth Floor rim joist</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'4th Floor'!$R$35:$R$66</c:f>
              <c:numCache>
                <c:formatCode>0.00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xVal>
          <c:yVal>
            <c:numRef>
              <c:f>'4th Floor'!$S$35:$S$66</c:f>
              <c:numCache>
                <c:formatCode>0.00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yVal>
          <c:smooth val="0"/>
          <c:extLst>
            <c:ext xmlns:c16="http://schemas.microsoft.com/office/drawing/2014/chart" uri="{C3380CC4-5D6E-409C-BE32-E72D297353CC}">
              <c16:uniqueId val="{00000002-54B8-4C6C-8B2D-D020B25FD4FC}"/>
            </c:ext>
          </c:extLst>
        </c:ser>
        <c:dLbls>
          <c:showLegendKey val="0"/>
          <c:showVal val="0"/>
          <c:showCatName val="0"/>
          <c:showSerName val="0"/>
          <c:showPercent val="0"/>
          <c:showBubbleSize val="0"/>
        </c:dLbls>
        <c:axId val="1196828432"/>
        <c:axId val="945789056"/>
      </c:scatterChart>
      <c:valAx>
        <c:axId val="1196828432"/>
        <c:scaling>
          <c:orientation val="minMax"/>
          <c:max val="100"/>
          <c:min val="-100"/>
        </c:scaling>
        <c:delete val="0"/>
        <c:axPos val="b"/>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5789056"/>
        <c:crossesAt val="-80"/>
        <c:crossBetween val="midCat"/>
        <c:majorUnit val="20"/>
        <c:minorUnit val="20"/>
      </c:valAx>
      <c:valAx>
        <c:axId val="945789056"/>
        <c:scaling>
          <c:orientation val="minMax"/>
          <c:max val="100"/>
          <c:min val="-100"/>
        </c:scaling>
        <c:delete val="0"/>
        <c:axPos val="r"/>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6828432"/>
        <c:crosses val="max"/>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Basement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3724784890689398E-2"/>
          <c:y val="3.8263420124009635E-2"/>
          <c:w val="0.93106150478374927"/>
          <c:h val="0.9272125913359538"/>
        </c:manualLayout>
      </c:layout>
      <c:scatterChart>
        <c:scatterStyle val="lineMarker"/>
        <c:varyColors val="0"/>
        <c:ser>
          <c:idx val="1"/>
          <c:order val="0"/>
          <c:tx>
            <c:v>Basement</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'Bsmt-Found'!$H$32:$H$62</c:f>
              <c:numCache>
                <c:formatCode>0.00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xVal>
          <c:yVal>
            <c:numRef>
              <c:f>'Bsmt-Found'!$I$32:$I$62</c:f>
              <c:numCache>
                <c:formatCode>0.00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yVal>
          <c:smooth val="0"/>
          <c:extLst>
            <c:ext xmlns:c16="http://schemas.microsoft.com/office/drawing/2014/chart" uri="{C3380CC4-5D6E-409C-BE32-E72D297353CC}">
              <c16:uniqueId val="{00000000-7548-448B-B970-5E2D6FD8A2F7}"/>
            </c:ext>
          </c:extLst>
        </c:ser>
        <c:dLbls>
          <c:showLegendKey val="0"/>
          <c:showVal val="0"/>
          <c:showCatName val="0"/>
          <c:showSerName val="0"/>
          <c:showPercent val="0"/>
          <c:showBubbleSize val="0"/>
        </c:dLbls>
        <c:axId val="1196828432"/>
        <c:axId val="945789056"/>
      </c:scatterChart>
      <c:valAx>
        <c:axId val="1196828432"/>
        <c:scaling>
          <c:orientation val="minMax"/>
          <c:max val="100"/>
          <c:min val="-100"/>
        </c:scaling>
        <c:delete val="0"/>
        <c:axPos val="b"/>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5789056"/>
        <c:crossesAt val="-80"/>
        <c:crossBetween val="midCat"/>
        <c:majorUnit val="20"/>
        <c:minorUnit val="20"/>
      </c:valAx>
      <c:valAx>
        <c:axId val="945789056"/>
        <c:scaling>
          <c:orientation val="minMax"/>
          <c:max val="100"/>
          <c:min val="-100"/>
        </c:scaling>
        <c:delete val="0"/>
        <c:axPos val="r"/>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6828432"/>
        <c:crosses val="max"/>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123826</xdr:colOff>
      <xdr:row>0</xdr:row>
      <xdr:rowOff>0</xdr:rowOff>
    </xdr:from>
    <xdr:to>
      <xdr:col>9</xdr:col>
      <xdr:colOff>0</xdr:colOff>
      <xdr:row>29</xdr:row>
      <xdr:rowOff>161925</xdr:rowOff>
    </xdr:to>
    <xdr:graphicFrame macro="">
      <xdr:nvGraphicFramePr>
        <xdr:cNvPr id="2" name="Chart 1">
          <a:extLst>
            <a:ext uri="{FF2B5EF4-FFF2-40B4-BE49-F238E27FC236}">
              <a16:creationId xmlns:a16="http://schemas.microsoft.com/office/drawing/2014/main" id="{00A57EF7-5D76-47C3-BB9F-79CF4E34F8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123826</xdr:colOff>
      <xdr:row>0</xdr:row>
      <xdr:rowOff>0</xdr:rowOff>
    </xdr:from>
    <xdr:to>
      <xdr:col>9</xdr:col>
      <xdr:colOff>0</xdr:colOff>
      <xdr:row>29</xdr:row>
      <xdr:rowOff>161925</xdr:rowOff>
    </xdr:to>
    <xdr:graphicFrame macro="">
      <xdr:nvGraphicFramePr>
        <xdr:cNvPr id="2" name="Chart 1">
          <a:extLst>
            <a:ext uri="{FF2B5EF4-FFF2-40B4-BE49-F238E27FC236}">
              <a16:creationId xmlns:a16="http://schemas.microsoft.com/office/drawing/2014/main" id="{C7AB4693-FF69-477C-987A-AAE579527E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123826</xdr:colOff>
      <xdr:row>0</xdr:row>
      <xdr:rowOff>0</xdr:rowOff>
    </xdr:from>
    <xdr:to>
      <xdr:col>9</xdr:col>
      <xdr:colOff>0</xdr:colOff>
      <xdr:row>29</xdr:row>
      <xdr:rowOff>161925</xdr:rowOff>
    </xdr:to>
    <xdr:graphicFrame macro="">
      <xdr:nvGraphicFramePr>
        <xdr:cNvPr id="2" name="Chart 1">
          <a:extLst>
            <a:ext uri="{FF2B5EF4-FFF2-40B4-BE49-F238E27FC236}">
              <a16:creationId xmlns:a16="http://schemas.microsoft.com/office/drawing/2014/main" id="{548DBD00-9C1F-4E82-AA1F-97DA4A5D31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123826</xdr:colOff>
      <xdr:row>0</xdr:row>
      <xdr:rowOff>0</xdr:rowOff>
    </xdr:from>
    <xdr:to>
      <xdr:col>9</xdr:col>
      <xdr:colOff>0</xdr:colOff>
      <xdr:row>29</xdr:row>
      <xdr:rowOff>161925</xdr:rowOff>
    </xdr:to>
    <xdr:graphicFrame macro="">
      <xdr:nvGraphicFramePr>
        <xdr:cNvPr id="2" name="Chart 1">
          <a:extLst>
            <a:ext uri="{FF2B5EF4-FFF2-40B4-BE49-F238E27FC236}">
              <a16:creationId xmlns:a16="http://schemas.microsoft.com/office/drawing/2014/main" id="{879465C4-CC16-4F88-89B7-6EF0703BAE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76200</xdr:colOff>
      <xdr:row>1</xdr:row>
      <xdr:rowOff>76197</xdr:rowOff>
    </xdr:from>
    <xdr:to>
      <xdr:col>9</xdr:col>
      <xdr:colOff>628649</xdr:colOff>
      <xdr:row>26</xdr:row>
      <xdr:rowOff>19051</xdr:rowOff>
    </xdr:to>
    <xdr:graphicFrame macro="">
      <xdr:nvGraphicFramePr>
        <xdr:cNvPr id="2" name="Chart 1">
          <a:extLst>
            <a:ext uri="{FF2B5EF4-FFF2-40B4-BE49-F238E27FC236}">
              <a16:creationId xmlns:a16="http://schemas.microsoft.com/office/drawing/2014/main" id="{6EB78A34-7050-42ED-B0E0-4F038DB1F2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D7A031D-0D0F-456D-87C6-02681237D07E}" name="MainAreaAndVolumes" displayName="MainAreaAndVolumes" ref="A23:F28" totalsRowShown="0">
  <tableColumns count="6">
    <tableColumn id="1" xr3:uid="{8A07E355-62D8-46E6-8BC6-E55A838CCE54}" name="Floor"/>
    <tableColumn id="2" xr3:uid="{AFF4F52B-44DB-4BBB-9337-3681A2081CF6}" name="Conditioned area (sf)"/>
    <tableColumn id="3" xr3:uid="{4D479299-1577-44F5-BB51-0A42BB718281}" name="Floor Overlap area (sf)"/>
    <tableColumn id="6" xr3:uid="{B26DC27A-3C2D-445E-927E-4327BCFEFFA6}" name="Wall Height (ft)" dataDxfId="163"/>
    <tableColumn id="7" xr3:uid="{8A82EA03-9094-448E-AA58-31C68CA1DA1A}" name="Rim Joist Height" dataDxfId="162"/>
    <tableColumn id="8" xr3:uid="{00C8C9C9-5B69-4CA8-9EED-EF6B12B22489}" name="Volume"/>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FB6C1BC-6914-4AC8-B85A-75EE08954365}" name="SecondFloor" displayName="SecondFloor" ref="A34:J66" totalsRowShown="0" headerRowDxfId="104" dataDxfId="103">
  <tableColumns count="10">
    <tableColumn id="8" xr3:uid="{7B620D62-2738-4EEC-9480-E91F236D5617}" name="Point" dataDxfId="102"/>
    <tableColumn id="1" xr3:uid="{0E7788D0-5327-42A0-A1BB-DF8909AA8882}" name="Unit Change" dataDxfId="101"/>
    <tableColumn id="3" xr3:uid="{2451739B-FF7E-41A5-8EE4-65C35403846F}" name="Direction" dataDxfId="100"/>
    <tableColumn id="7" xr3:uid="{4D601B63-C47A-4618-8265-71678360538F}" name="Custom Angular Direction" dataDxfId="99"/>
    <tableColumn id="10" xr3:uid="{D9C4F022-DD84-40A2-847A-24FCD13A1D62}" name="Wall Type" dataDxfId="98"/>
    <tableColumn id="2" xr3:uid="{D7523073-9917-4600-B2CB-24C0C4B59877}" name="Offset Change" dataDxfId="97"/>
    <tableColumn id="6" xr3:uid="{96DB35D0-04A1-4CF2-A8DC-64BE7B9DE299}" name="Angular Direction" dataDxfId="96"/>
    <tableColumn id="4" xr3:uid="{7FE939ED-FB3B-407D-918F-C92678BB1F2C}" name="X-Axis" dataDxfId="95"/>
    <tableColumn id="5" xr3:uid="{1161EB9F-4939-4279-9807-B0A34949467A}" name="Y-Axis" dataDxfId="94"/>
    <tableColumn id="9" xr3:uid="{5BA9B521-B703-4896-A5FE-70884A39B554}" name="Area sum" dataDxfId="93"/>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2D93105-6ECC-4EF5-AEED-1728909655F1}" name="OverlapSecondFloor" displayName="OverlapSecondFloor" ref="L34:T66" totalsRowShown="0" headerRowDxfId="92" dataDxfId="91">
  <tableColumns count="9">
    <tableColumn id="8" xr3:uid="{1D320715-A0A1-4571-9758-5B177D594D05}" name="Point" dataDxfId="90"/>
    <tableColumn id="1" xr3:uid="{E2C6839D-CB61-4212-BF9B-8B47B662E3F0}" name="Unit Change" dataDxfId="89"/>
    <tableColumn id="3" xr3:uid="{B5EF3E86-C594-4888-BA83-FB6EEE8F361C}" name="Direction" dataDxfId="88"/>
    <tableColumn id="7" xr3:uid="{093DAF88-EBB6-4BB3-820B-521983DC0FD4}" name="Custom Angular Direction" dataDxfId="87"/>
    <tableColumn id="2" xr3:uid="{BB745F76-6697-4B87-AD42-01AF9FEA5F2E}" name="Offset Change" dataDxfId="86"/>
    <tableColumn id="6" xr3:uid="{0BF59245-6348-4DBD-8B4C-2441095074E3}" name="Angular Direction" dataDxfId="85"/>
    <tableColumn id="4" xr3:uid="{6834C4E7-9F8F-40DB-906F-67CAD72E5B8E}" name="X-Axis" dataDxfId="84"/>
    <tableColumn id="5" xr3:uid="{D28D4F7F-1799-476C-93BB-4078C4249BF6}" name="Y-Axis" dataDxfId="83"/>
    <tableColumn id="9" xr3:uid="{8206C249-6D7B-4F73-A6B1-ECB524FAE128}" name="Area sum" dataDxfId="82"/>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A3F805FE-C16D-444A-AAD4-AAFFBE750934}" name="SecondFloorPerimeter" displayName="SecondFloorPerimeter" ref="A14:B20" totalsRowShown="0" headerRowDxfId="81" dataDxfId="80">
  <autoFilter ref="A14:B20" xr:uid="{77B6550B-2D76-4DE7-A3E2-E3D01FCDD9DD}"/>
  <tableColumns count="2">
    <tableColumn id="1" xr3:uid="{5AA7877A-54B5-4255-8A49-FA1D98AE89F9}" name="Name" dataDxfId="79"/>
    <tableColumn id="2" xr3:uid="{8B2462E1-71A3-4125-BCD1-AFA87A7A9A63}" name="SUM (SF)" dataDxfId="78">
      <calculatedColumnFormula>SUMIF(SecondFloor[Wall Type],A15,SecondFloor[Offset Change])</calculatedColumnFormula>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ACB2A538-37E8-4806-B583-D2508C5E6417}" name="Table19" displayName="Table19" ref="A22:A26" totalsRowShown="0" headerRowDxfId="77" dataDxfId="76" tableBorderDxfId="75">
  <autoFilter ref="A22:A26" xr:uid="{02D1A5EA-4408-4D54-8785-0D542090971B}"/>
  <tableColumns count="1">
    <tableColumn id="1" xr3:uid="{70AFB152-7BE2-4D48-A1A2-FEAA7E11C380}" name="Areas to subtract" dataDxfId="74"/>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2E3C2A0-8224-479A-A02A-39ACE28D880D}" name="ThirdFloor" displayName="ThirdFloor" ref="A34:J66" totalsRowShown="0" headerRowDxfId="73" dataDxfId="72">
  <tableColumns count="10">
    <tableColumn id="8" xr3:uid="{053BAF5D-E757-4F4D-862E-77F3780DA7D3}" name="Point" dataDxfId="71"/>
    <tableColumn id="1" xr3:uid="{360A696C-8DBF-4F73-85EC-21642E7F3992}" name="Unit Change" dataDxfId="70"/>
    <tableColumn id="3" xr3:uid="{A06E5010-986F-41EC-B0F8-937904C197A0}" name="Direction" dataDxfId="69"/>
    <tableColumn id="7" xr3:uid="{76A32F5A-B82B-4D67-A624-55BA6DB06FCD}" name="Custom Angular Direction" dataDxfId="68"/>
    <tableColumn id="10" xr3:uid="{DD5A5993-514A-4D5D-9505-1EBF47CF75C9}" name="Wall Type" dataDxfId="67"/>
    <tableColumn id="2" xr3:uid="{5B5C283B-CEBF-4708-AC3D-127744135C32}" name="Offset Change" dataDxfId="66"/>
    <tableColumn id="6" xr3:uid="{933BEA42-6353-4B81-8058-9073757D0F27}" name="Angular Direction" dataDxfId="65"/>
    <tableColumn id="4" xr3:uid="{CE90CB06-2026-48CA-8A49-113E6FE3494D}" name="X-Axis" dataDxfId="64"/>
    <tableColumn id="5" xr3:uid="{16244BD6-F3C6-474C-AB63-E082363C2E95}" name="Y-Axis" dataDxfId="63"/>
    <tableColumn id="9" xr3:uid="{79A7BDF0-800F-44DF-850E-4C18E72AEBA3}" name="Area sum" dataDxfId="62"/>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7F3A568-6266-4D06-95AF-8C4907C94C1F}" name="OverlapThirdFloor" displayName="OverlapThirdFloor" ref="L34:T66" totalsRowShown="0" headerRowDxfId="61" dataDxfId="60">
  <tableColumns count="9">
    <tableColumn id="8" xr3:uid="{3739E2F7-8745-450E-9730-27DE8212D4B2}" name="Point" dataDxfId="59"/>
    <tableColumn id="1" xr3:uid="{4DEFC494-6635-4BFE-8923-B1F8E9BEE42A}" name="Unit Change" dataDxfId="58"/>
    <tableColumn id="3" xr3:uid="{500E5243-388E-432E-8267-5A590B946875}" name="Direction" dataDxfId="57"/>
    <tableColumn id="7" xr3:uid="{86026F39-5B24-4D1F-A6CB-90C5BB520A8C}" name="Custom Angular Direction" dataDxfId="56"/>
    <tableColumn id="2" xr3:uid="{8A453C6B-81AD-4821-8E9A-004B99A47278}" name="Offset Change" dataDxfId="55"/>
    <tableColumn id="6" xr3:uid="{0782A912-113E-404A-A931-0FD0CF04CDC3}" name="Angular Direction" dataDxfId="54"/>
    <tableColumn id="4" xr3:uid="{3ACE9F21-A599-4C9E-99D4-98B7B4D91FA6}" name="X-Axis" dataDxfId="53"/>
    <tableColumn id="5" xr3:uid="{2CEABAEA-C123-4864-B5FB-85B3E1CC0C04}" name="Y-Axis" dataDxfId="52"/>
    <tableColumn id="9" xr3:uid="{360DF4F2-7FC2-42D7-A336-289E4D505547}" name="Area sum" dataDxfId="51"/>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43345FF-A0CA-47F2-8CEC-08B58C599B00}" name="ThirdFloorPerimeter" displayName="ThirdFloorPerimeter" ref="A14:B20" totalsRowShown="0" headerRowDxfId="50" dataDxfId="49">
  <autoFilter ref="A14:B20" xr:uid="{D359BAE2-4A0C-4834-9932-EAC68EB7C2DA}"/>
  <tableColumns count="2">
    <tableColumn id="1" xr3:uid="{08B817B1-1A8E-4031-8A28-5AEBC7BC089A}" name="Name" dataDxfId="48"/>
    <tableColumn id="2" xr3:uid="{EE255ACE-1E40-48E8-94FD-D29865010FB3}" name="SUM (SF)" dataDxfId="47">
      <calculatedColumnFormula>SUMIF(ThirdFloor[Wall Type],A15,ThirdFloor[Offset Change])</calculatedColumnFormula>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4678B40B-10D8-4409-854F-0DB02881B1CD}" name="Table1926" displayName="Table1926" ref="A22:A26" totalsRowShown="0" headerRowDxfId="46" dataDxfId="45" tableBorderDxfId="44">
  <autoFilter ref="A22:A26" xr:uid="{9CE6E5DA-DF68-459E-8832-8E2C844B2338}"/>
  <tableColumns count="1">
    <tableColumn id="1" xr3:uid="{F918BCC4-617D-4826-8984-0A414842D80A}" name="Areas to subtract" dataDxfId="43"/>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A375161-EAB0-43FB-85E0-4C19CB2C31C4}" name="FourthFloor" displayName="FourthFloor" ref="A34:J66" totalsRowShown="0" headerRowDxfId="42" dataDxfId="41">
  <tableColumns count="10">
    <tableColumn id="8" xr3:uid="{C6210CC2-6F9A-46AB-B207-56BA56732ECB}" name="Point" dataDxfId="40"/>
    <tableColumn id="1" xr3:uid="{FFEF46FB-107F-4EF8-8B25-6CD38507FD3A}" name="Unit Change" dataDxfId="39"/>
    <tableColumn id="3" xr3:uid="{17DF7BAE-03FC-468F-A6AE-3EF2A4139750}" name="Direction" dataDxfId="38"/>
    <tableColumn id="7" xr3:uid="{08A55E4F-E736-4673-A0CF-2D2859E63043}" name="Custom Angular Direction" dataDxfId="37"/>
    <tableColumn id="10" xr3:uid="{45DD703F-9FC6-4EAA-A3AA-57E45A961324}" name="Wall Type" dataDxfId="36"/>
    <tableColumn id="2" xr3:uid="{8980AFC0-80EB-46AD-949B-7D4C502AE900}" name="Offset Change" dataDxfId="35"/>
    <tableColumn id="6" xr3:uid="{BD3A207E-3544-4311-925D-FCC017A2CA7A}" name="Angular Direction" dataDxfId="34"/>
    <tableColumn id="4" xr3:uid="{E32D7571-E892-4A92-892E-196564FD8442}" name="X-Axis" dataDxfId="33"/>
    <tableColumn id="5" xr3:uid="{64C95020-DED7-4F39-B01B-843D307B5BAB}" name="Y-Axis" dataDxfId="32"/>
    <tableColumn id="9" xr3:uid="{C064129E-4D62-400D-A91B-8885F2EF6457}" name="Area sum" dataDxfId="31"/>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FD21E08-C659-4586-B545-61D3D043EC50}" name="OverlapFourthFloor" displayName="OverlapFourthFloor" ref="L34:T66" totalsRowShown="0" headerRowDxfId="30" dataDxfId="29">
  <tableColumns count="9">
    <tableColumn id="8" xr3:uid="{79F79CFD-B083-4ACA-8ABD-9C8FBBAAD515}" name="Point" dataDxfId="28"/>
    <tableColumn id="1" xr3:uid="{E12E3471-9E4B-49B4-B346-E16939DC2FD2}" name="Unit Change" dataDxfId="27"/>
    <tableColumn id="3" xr3:uid="{733A4C45-B42A-449C-910C-044BB29E5F48}" name="Direction" dataDxfId="26"/>
    <tableColumn id="7" xr3:uid="{2B6CE865-4CAC-4FDA-8C58-C1816BFF4681}" name="Custom Angular Direction" dataDxfId="25"/>
    <tableColumn id="2" xr3:uid="{EAE548B3-1807-4384-AA1F-BCC6FC82E813}" name="Offset Change" dataDxfId="24"/>
    <tableColumn id="6" xr3:uid="{EC152FCA-8DA9-4981-BA0B-F26044BDB1A8}" name="Angular Direction" dataDxfId="23"/>
    <tableColumn id="4" xr3:uid="{E4940716-4930-4B5D-B14A-418D8102531E}" name="X-Axis" dataDxfId="22"/>
    <tableColumn id="5" xr3:uid="{47CC6A41-5966-48C8-8DC7-333AD4DA3C1F}" name="Y-Axis" dataDxfId="21"/>
    <tableColumn id="9" xr3:uid="{F7F1FCA5-CF9E-4392-8FF4-76C857510352}" name="Area sum" dataDxfId="2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658E0D5-EFE7-49CF-B9F1-B7757384FD42}" name="VaultsAndRaisedCeilings" displayName="VaultsAndRaisedCeilings" ref="A47:O52" totalsRowShown="0">
  <tableColumns count="15">
    <tableColumn id="1" xr3:uid="{FE194EBB-A481-47C4-96C0-19D3807AD68D}" name="Name" dataDxfId="161"/>
    <tableColumn id="2" xr3:uid="{6C6E7658-D0C8-4FAB-9453-1CD34EEC7143}" name="Shape" dataDxfId="160"/>
    <tableColumn id="3" xr3:uid="{F690DF33-2C0B-43E9-96FD-4B307518E141}" name="Slope (?/12)" dataDxfId="159"/>
    <tableColumn id="4" xr3:uid="{821C9736-849C-4CE3-8695-BE3919352485}" name="base" dataDxfId="158">
      <calculatedColumnFormula>120/12</calculatedColumnFormula>
    </tableColumn>
    <tableColumn id="5" xr3:uid="{8084D2D1-94E1-453D-AEFD-A7EDDEDCF258}" name="height" dataDxfId="157"/>
    <tableColumn id="7" xr3:uid="{C9ECC70C-2750-41D7-B31F-CE95F61ED9EB}" name="Length" dataDxfId="156">
      <calculatedColumnFormula>143.82/12</calculatedColumnFormula>
    </tableColumn>
    <tableColumn id="6" xr3:uid="{5E46593D-2433-4CDA-BE2C-E8BEC8671594}" name="Shape Area" dataDxfId="155">
      <calculatedColumnFormula>IF(OR(B48="Full Triangle",B48="Partial Triangle"),D48*E48*0.5,IF(B48="Rectangle",D48*E48,IF(B48="Trapazoid",((2*D48-2*(E48/(C48/12)))/2)*E48,"Select Shape")))</calculatedColumnFormula>
    </tableColumn>
    <tableColumn id="8" xr3:uid="{D0F38C8D-E9DB-498A-94DD-3CDC5F0DDB9E}" name="Volume" dataDxfId="154">
      <calculatedColumnFormula>IFERROR(VaultsAndRaisedCeilings[[#This Row],[Shape Area]]*VaultsAndRaisedCeilings[[#This Row],[Length]],"")</calculatedColumnFormula>
    </tableColumn>
    <tableColumn id="9" xr3:uid="{B605C628-EE4D-4C31-9022-7D4EF0067785}" name="Ceiling Area" dataDxfId="153">
      <calculatedColumnFormula>IF(OR(B48="Full Triangle",B48="Partial Triangle"),SQRT(((D48/2)^2)+E48^2)*F48*2,IF(B48="Square",D48*F48,IF(B48="Trapazoid",2*((E48^2+(E48/C48)^2)^0.5+2*D48-2*(E48/C48)),"")))</calculatedColumnFormula>
    </tableColumn>
    <tableColumn id="10" xr3:uid="{3650EC8F-578A-477F-94A2-25BBBA3D1C51}" name="Floor-shape area" dataDxfId="152">
      <calculatedColumnFormula>IF(VaultsAndRaisedCeilings[[#This Row],[Shape]]="Square","",D48*F48)</calculatedColumnFormula>
    </tableColumn>
    <tableColumn id="15" xr3:uid="{49CABFAD-05E7-4F10-82C3-084ACE93E7F9}" name="Difference" dataDxfId="151">
      <calculatedColumnFormula>IFERROR(VaultsAndRaisedCeilings[[#This Row],[Ceiling Area]]-VaultsAndRaisedCeilings[[#This Row],[Floor-shape area]],"")</calculatedColumnFormula>
    </tableColumn>
    <tableColumn id="11" xr3:uid="{2252DDD2-C927-44FC-92CA-707519C13964}" name="Attic" dataDxfId="150" dataCellStyle="Percent"/>
    <tableColumn id="12" xr3:uid="{E3A5772B-A9B7-471A-A284-84D1EB1576FC}" name="Ambient" dataDxfId="149" dataCellStyle="Percent"/>
    <tableColumn id="13" xr3:uid="{4CE93821-2EA9-447C-849F-0E1C2946B6A0}" name="Kneewall Area" dataDxfId="148">
      <calculatedColumnFormula>IF(VaultsAndRaisedCeilings[[#This Row],[Shape]]="Rectangle",(VaultsAndRaisedCeilings[[#This Row],[base]]*VaultsAndRaisedCeilings[[#This Row],[height]]*2+VaultsAndRaisedCeilings[[#This Row],[Length]]*VaultsAndRaisedCeilings[[#This Row],[height]]*2)*VaultsAndRaisedCeilings[[#This Row],[Attic]],IF(OR(VaultsAndRaisedCeilings[[#This Row],[Shape]]="Full Triangle",VaultsAndRaisedCeilings[[#This Row],[Shape]]="Trapazoid"),VaultsAndRaisedCeilings[[#This Row],[Shape Area]]*2*VaultsAndRaisedCeilings[[#This Row],[Attic]],IF(VaultsAndRaisedCeilings[[#This Row],[Shape]]="Partial Triangle",(VaultsAndRaisedCeilings[[#This Row],[Shape Area]]*2+VaultsAndRaisedCeilings[[#This Row],[height]]*VaultsAndRaisedCeilings[[#This Row],[Length]])*VaultsAndRaisedCeilings[[#This Row],[Attic]],"Select Shape")))</calculatedColumnFormula>
    </tableColumn>
    <tableColumn id="14" xr3:uid="{7FCE48F9-63BD-4683-8C3B-58C9162FCB6C}" name="Main Wall Area" dataDxfId="147">
      <calculatedColumnFormula>IF(VaultsAndRaisedCeilings[[#This Row],[Shape]]="Rectangle",(VaultsAndRaisedCeilings[[#This Row],[base]]*VaultsAndRaisedCeilings[[#This Row],[height]]*2+VaultsAndRaisedCeilings[[#This Row],[Length]]*VaultsAndRaisedCeilings[[#This Row],[height]]*2)*VaultsAndRaisedCeilings[[#This Row],[Ambient]],IF(OR(VaultsAndRaisedCeilings[[#This Row],[Shape]]="Full Triangle",VaultsAndRaisedCeilings[[#This Row],[Shape]]="Trapazoid"),VaultsAndRaisedCeilings[[#This Row],[Shape Area]]*2*VaultsAndRaisedCeilings[[#This Row],[Ambient]],IF(VaultsAndRaisedCeilings[[#This Row],[Shape]]="Partial Triangle",(VaultsAndRaisedCeilings[[#This Row],[Shape Area]]*2+VaultsAndRaisedCeilings[[#This Row],[height]]*VaultsAndRaisedCeilings[[#This Row],[Length]])*VaultsAndRaisedCeilings[[#This Row],[Ambient]],"Select Shape")))</calculatedColumnFormula>
    </tableColumn>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B91303A5-B03C-4301-9263-516908FDB9EB}" name="FourthFloorPerimeter" displayName="FourthFloorPerimeter" ref="A14:B20" totalsRowShown="0" headerRowDxfId="19">
  <autoFilter ref="A14:B20" xr:uid="{CE9687D4-8AA1-459B-9F58-D184BEDCE2E6}"/>
  <tableColumns count="2">
    <tableColumn id="1" xr3:uid="{7755B0C4-205F-40F5-8001-EB54C43B3DAE}" name="Name" dataDxfId="18"/>
    <tableColumn id="2" xr3:uid="{E02FB441-CA11-41E7-A9C3-4A25B0C95A06}" name="SUM (SF)" dataDxfId="17">
      <calculatedColumnFormula>SUM(FourthFloor[Offset Change])</calculatedColumnFormula>
    </tableColumn>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E15C80BF-A413-4EAA-B368-96BDB9A319CF}" name="Table1927" displayName="Table1927" ref="A22:A26" totalsRowShown="0" headerRowDxfId="16" dataDxfId="15" tableBorderDxfId="14">
  <autoFilter ref="A22:A26" xr:uid="{56AC3E27-1259-4422-8207-98706AA33364}"/>
  <tableColumns count="1">
    <tableColumn id="1" xr3:uid="{1F0B8E91-7AA3-4C66-9C25-A567E59F5E84}" name="Areas to subtract" dataDxfId="13"/>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810E9D7-8498-4D00-8E2B-9D6210FC15D0}" name="Basement" displayName="Basement" ref="A31:K62" totalsRowShown="0">
  <autoFilter ref="A31:K62" xr:uid="{73EDE5B8-7207-4AD8-A073-642528412682}"/>
  <tableColumns count="11">
    <tableColumn id="8" xr3:uid="{89C59CF6-E3BF-4540-95BC-22E9B675EEEC}" name="Point"/>
    <tableColumn id="1" xr3:uid="{FF609D47-A6BD-4A6F-AD32-6CE88E70F62F}" name="Unit Change" dataDxfId="12"/>
    <tableColumn id="3" xr3:uid="{EE1E8000-5D80-4613-B3B0-5ACDECF0DDBD}" name="Direction" dataDxfId="11"/>
    <tableColumn id="7" xr3:uid="{39758096-327F-407B-9801-47FFEF4F0C27}" name="Custom Angular Direction" dataDxfId="10"/>
    <tableColumn id="11" xr3:uid="{95FD0C72-918A-4131-8991-871E19219A3C}" name="Wall Type" dataDxfId="9"/>
    <tableColumn id="2" xr3:uid="{86E0B913-F440-4804-96BF-5BC2D4FC418E}" name="Offset Change"/>
    <tableColumn id="6" xr3:uid="{42234D5D-9B13-45B9-A925-04FFADC8F1DC}" name="Angular Direction" dataDxfId="8"/>
    <tableColumn id="4" xr3:uid="{12985F9D-64BE-4C49-8996-9BFC7BB24098}" name="X-Axis" dataDxfId="7"/>
    <tableColumn id="5" xr3:uid="{E0FA70C0-A5B8-40D4-A72E-062CB95F8729}" name="Y-Axis" dataDxfId="6"/>
    <tableColumn id="9" xr3:uid="{AED47259-8221-4777-BC72-194F9A9119AA}" name="Area Sum"/>
    <tableColumn id="10" xr3:uid="{0BE3CBF8-835E-4BE3-A968-081683FFFC5D}" name="Ceiling Sum" dataDxfId="5">
      <calculatedColumnFormula>FirstFloor[[#This Row],[Area sum]]-'Bsmt-Found'!I30</calculatedColumnFormula>
    </tableColumn>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F00E7D0-F580-4B48-AE61-21047273A37B}" name="BasementPerimeters" displayName="BasementPerimeters" ref="A9:B15" totalsRowShown="0">
  <autoFilter ref="A9:B15" xr:uid="{8FF3BFD4-FB7B-41E1-BB90-D8C9E2E10286}"/>
  <tableColumns count="2">
    <tableColumn id="1" xr3:uid="{2B582DB9-CDA6-42B3-948C-CFBCAAB72121}" name="Name"/>
    <tableColumn id="2" xr3:uid="{C27DACD7-8132-46ED-B287-496B8C2187BD}" name="SUM (SF)">
      <calculatedColumnFormula>SUMIF(Basement[Wall Type],A10,Basement[Offset Change])</calculatedColumnFormula>
    </tableColumn>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881AE1E1-9DE9-422F-98C9-367A4946DF59}" name="Table1925" displayName="Table1925" ref="A17:A21" totalsRowShown="0" dataDxfId="4">
  <autoFilter ref="A17:A21" xr:uid="{2FA41B17-E083-4FBF-886E-6B381F9C9FD6}"/>
  <tableColumns count="1">
    <tableColumn id="1" xr3:uid="{2582E3FC-841F-4880-B2C4-E7D30A08D98D}" name="Areas to subtract" dataDxfId="3"/>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144BA26-7A2C-4D3E-ADEC-B256365500ED}" name="Direction" displayName="Direction" ref="A1:B10" totalsRowShown="0">
  <autoFilter ref="A1:B10" xr:uid="{82114747-75B4-4EDE-95E1-9A4E6516EFC5}"/>
  <tableColumns count="2">
    <tableColumn id="1" xr3:uid="{039598CD-6ECE-4BF9-B28C-CFCC02811496}" name="Direction"/>
    <tableColumn id="2" xr3:uid="{02F51CF9-F353-409A-84C9-A0A3D3D22825}" name="Degree"/>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20DF00C-CAE9-4EE4-9EB0-DE9C31FE6093}" name="OrientionRef" displayName="OrientionRef" ref="D1:K9" totalsRowShown="0">
  <autoFilter ref="D1:K9" xr:uid="{87FF518F-F0C4-4C59-8D0B-4613A4BC2A68}"/>
  <tableColumns count="8">
    <tableColumn id="1" xr3:uid="{2EFAF1A5-E6B8-4B4D-BE9E-AB26F547AF1E}" name="Front"/>
    <tableColumn id="2" xr3:uid="{290A4938-2698-4C5F-A9BE-2CD8F1FC4B77}" name="Left"/>
    <tableColumn id="3" xr3:uid="{4DF251F9-0CAF-4013-A4D3-EC818F7C68CF}" name="Back"/>
    <tableColumn id="4" xr3:uid="{BE1ABECA-256A-4CC7-A1BE-1019D415FB67}" name="Right" dataDxfId="2"/>
    <tableColumn id="5" xr3:uid="{1F9168CC-6134-4D5F-A811-D1049804CC5B}" name="Front-Left"/>
    <tableColumn id="6" xr3:uid="{A05CA865-0323-41AF-9F82-84AB264C8049}" name="Front-Right " dataDxfId="1"/>
    <tableColumn id="7" xr3:uid="{24A8C25D-9AD3-498C-8ECB-CEB14DA2AD24}" name="Back-Left"/>
    <tableColumn id="8" xr3:uid="{F9A9ADE1-E7E0-40FE-BFA4-C0ECFB7B1C3C}" name="Back-Right" data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FCB829A0-0D24-44E3-9CD5-B51FB45DFE6F}" name="Table22" displayName="Table22" ref="A35:K41" totalsRowShown="0">
  <tableColumns count="11">
    <tableColumn id="1" xr3:uid="{120E2FCE-F5FB-4F8C-B252-274AFD5603BE}" name="Floor Name"/>
    <tableColumn id="2" xr3:uid="{C4E792C4-F2FD-44AE-9334-492747A29FEC}" name="Foundation Wall"/>
    <tableColumn id="3" xr3:uid="{E7ADC8D5-A8AD-46FA-882B-62CC8B361FB0}" name="Main Wall"/>
    <tableColumn id="4" xr3:uid="{6E96862E-4464-4366-8C04-62F7F763FC98}" name="Secondary Wall"/>
    <tableColumn id="5" xr3:uid="{E801F425-5589-479E-AE9C-BEB314B33082}" name="Garage Wall"/>
    <tableColumn id="6" xr3:uid="{5D38C960-75B3-472B-B4AB-945C4B814D3B}" name="Kneewall"/>
    <tableColumn id="7" xr3:uid="{5C898DE0-2A08-4876-A76D-A9C35C219050}" name="Total Wall"/>
    <tableColumn id="8" xr3:uid="{E73C6358-D4C8-437A-AF37-FD9D349B98E9}" name="Catelievered Floor area" dataDxfId="146"/>
    <tableColumn id="9" xr3:uid="{FD196451-8AFA-4433-A8B0-09DA3DCFBA12}" name="Ceiling area"/>
    <tableColumn id="10" xr3:uid="{1E97D541-6E2C-4997-927F-D14ACCBD96F8}" name="Rim Joist">
      <calculatedColumnFormula>G36*E24</calculatedColumnFormula>
    </tableColumn>
    <tableColumn id="11" xr3:uid="{FFF32F49-612B-4AF5-90E5-8BD8690FD175}" name="Total">
      <calculatedColumnFormula>SUM(G36:J36)</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0EF3160-AA61-423B-AC3C-071BC234933B}" name="MainWIndows" displayName="MainWIndows" ref="A2:R32" totalsRowShown="0" headerRowDxfId="145" headerRowBorderDxfId="144">
  <tableColumns count="18">
    <tableColumn id="1" xr3:uid="{AFE2666B-E18F-40CA-AA1A-4C6E38F0E424}" name="Window count and dimensions" dataDxfId="143"/>
    <tableColumn id="2" xr3:uid="{6D784441-DD16-41DB-BE3D-E338C51D432A}" name="Option" dataDxfId="142"/>
    <tableColumn id="3" xr3:uid="{69F4AED9-44AF-4182-AC0B-958CB566C7AD}" name="Side" dataDxfId="141"/>
    <tableColumn id="4" xr3:uid="{440A1A0D-E739-4F23-A825-0E90FFC9CE7F}" name="Type" dataDxfId="140"/>
    <tableColumn id="5" xr3:uid="{B29143C7-D110-45A9-86F4-0766A5CE9C02}" name="Overhang" dataDxfId="139"/>
    <tableColumn id="6" xr3:uid="{5AAE2FF2-F821-4F09-9989-F229F8A09AB3}" name="count">
      <calculatedColumnFormula>IF(B3="OPT","",IF(IF(LEN(A3)=5,ROUNDDOWN(A3/10000,0),ROUNDDOWN(A3/100000,0))=0,"",IF(LEN(A3)=5,ROUNDDOWN(A3/10000,0),ROUNDDOWN(A3/100000,0))))</calculatedColumnFormula>
    </tableColumn>
    <tableColumn id="7" xr3:uid="{71E156D6-9854-4564-9C7A-E4435E078BE3}" name="width (ft)">
      <calculatedColumnFormula>IFERROR(IF(LEN(A3)=5,ROUNDDOWN((A3-(F3*10000))/1000,0),""),"")</calculatedColumnFormula>
    </tableColumn>
    <tableColumn id="8" xr3:uid="{78891F9C-F7D2-4006-B0AE-E00DA2B50105}" name="width (in)">
      <calculatedColumnFormula>IFERROR(IF(LEN(A3)=5,ROUNDDOWN((A3-(F3*10000+G3*1000))/100, 0),""), "")</calculatedColumnFormula>
    </tableColumn>
    <tableColumn id="9" xr3:uid="{9AA8CFE9-DF4E-4B2D-A1B2-E1678D4D4B2F}" name="side 1 (decimal feet)" dataDxfId="138">
      <calculatedColumnFormula>IFERROR(IF(G3+(H3/12)=0, "", G3+(H3/12)),"")</calculatedColumnFormula>
    </tableColumn>
    <tableColumn id="10" xr3:uid="{39569EDE-BEBD-4E12-B8A4-EB06C9749170}" name="height (ft)">
      <calculatedColumnFormula>IFERROR(ROUNDDOWN((A3-(F3*10000+G3*1000+H3*100))/10, 0), "")</calculatedColumnFormula>
    </tableColumn>
    <tableColumn id="11" xr3:uid="{5E72E554-A0FC-40EB-A9FE-6AD46F3B4C35}" name="height (in)">
      <calculatedColumnFormula>IFERROR(ROUNDDOWN((A3-(F3*10000+G3*1000+H3*100+J3*10))/1, 0), "")</calculatedColumnFormula>
    </tableColumn>
    <tableColumn id="12" xr3:uid="{685B6DA5-E558-41F2-B9A0-F43DFD73BBFD}" name="side 2 (decimal feet)" dataDxfId="137">
      <calculatedColumnFormula>IFERROR(IF(J3+(K3/12)=0, "", J3+(K3/12)), "")</calculatedColumnFormula>
    </tableColumn>
    <tableColumn id="13" xr3:uid="{BF296189-58C2-4DAF-824E-48A8637950EE}" name="area (x1)">
      <calculatedColumnFormula>IFERROR(IF(I3*L3=0,"",I3*L3), "")</calculatedColumnFormula>
    </tableColumn>
    <tableColumn id="14" xr3:uid="{A5AE0529-2453-43B9-AD46-F38919B39565}" name="total area" dataDxfId="136">
      <calculatedColumnFormula>IFERROR(IF(F3*M3=0, "", F3*M3), "")</calculatedColumnFormula>
    </tableColumn>
    <tableColumn id="15" xr3:uid="{58545155-C3E3-48C3-A7E2-F4346393AA0C}" name="Name">
      <calculatedColumnFormula>C3&amp;" "&amp;D3</calculatedColumnFormula>
    </tableColumn>
    <tableColumn id="16" xr3:uid="{F745164B-054B-4B84-B134-27733E206D64}" name="subtotal (shaded vs. exposed)"/>
    <tableColumn id="17" xr3:uid="{B6823006-9C3A-4A0A-838B-959905F431EB}" name="total glass for side"/>
    <tableColumn id="18" xr3:uid="{CCE0C1B3-6FCF-44FB-A67B-E33AFC5C9BE5}" name="Overhang values">
      <calculatedColumnFormula>IFERROR(IF(E3 = "","",E3&amp;", 1, "&amp;L3+1), "")</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E29105E-7BBB-4DF2-BFC6-A025714E325D}" name="WindowSummary" displayName="WindowSummary" ref="B37:D93" totalsRowShown="0">
  <autoFilter ref="B37:D93" xr:uid="{2A75FB73-FC31-4F85-827B-D71C3868DCE3}">
    <filterColumn colId="1">
      <filters>
        <filter val="2"/>
        <filter val="4"/>
        <filter val="6"/>
      </filters>
    </filterColumn>
  </autoFilter>
  <tableColumns count="3">
    <tableColumn id="1" xr3:uid="{D0012FF9-5BEC-459A-9BBA-843F74F27604}" name="Name"/>
    <tableColumn id="2" xr3:uid="{D7666528-9DE7-45B1-8301-6A4A462A1FFC}" name="Window Count" dataDxfId="135">
      <calculatedColumnFormula>SUM(C32:C37)</calculatedColumnFormula>
    </tableColumn>
    <tableColumn id="3" xr3:uid="{2F82F878-59E5-44C0-8ED1-15DBF226D3E1}" name="Window Areas">
      <calculatedColumnFormula>SUMIF(MainWIndows[Name],B38,MainWIndows[total area])</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05E1B0D-6BA0-42A9-B93C-40C1F55FF754}" name="FirstFloor" displayName="FirstFloor" ref="A34:J66" totalsRowShown="0" headerRowDxfId="134" dataDxfId="133">
  <tableColumns count="10">
    <tableColumn id="8" xr3:uid="{30F023A8-E957-42D5-8478-C6CABDA425F6}" name="Point" dataDxfId="132"/>
    <tableColumn id="1" xr3:uid="{F1D95B90-59A5-440C-9373-3143B3E59721}" name="Unit Change" dataDxfId="131"/>
    <tableColumn id="3" xr3:uid="{F4A907A6-3CDE-48C4-816A-1B85476D7813}" name="Direction" dataDxfId="130"/>
    <tableColumn id="7" xr3:uid="{4BA94504-4959-48B0-9796-2016DCE7EDA7}" name="Custom Angular Direction" dataDxfId="129"/>
    <tableColumn id="10" xr3:uid="{29EF110A-F390-4DE2-8650-70EEA6CAC898}" name="Wall Type" dataDxfId="128"/>
    <tableColumn id="2" xr3:uid="{E60DC0C5-D0F4-4C76-8375-694B312A8D8D}" name="Offset Change" dataDxfId="127"/>
    <tableColumn id="6" xr3:uid="{20265CAF-1CB1-44F9-B1FD-DC1E07B4B1E2}" name="Angular Direction" dataDxfId="126"/>
    <tableColumn id="4" xr3:uid="{580771D5-50B0-4520-8153-AFD520DBEDB8}" name="X-Axis" dataDxfId="125"/>
    <tableColumn id="5" xr3:uid="{8B1FC53F-6EAF-4C6E-8EDD-561EDC00A64F}" name="Y-Axis" dataDxfId="124"/>
    <tableColumn id="9" xr3:uid="{E4A99F4C-53B0-4F49-9F28-E69A2B4B883D}" name="Area sum" dataDxfId="123"/>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ACAF69E-7E8F-4D00-B771-9314A4CAAD58}" name="OverlapFirstFloor" displayName="OverlapFirstFloor" ref="L34:T66" totalsRowShown="0" headerRowDxfId="122" dataDxfId="121">
  <tableColumns count="9">
    <tableColumn id="8" xr3:uid="{63926CE3-0A24-4BC4-8801-3540D731AC59}" name="Point" dataDxfId="120"/>
    <tableColumn id="1" xr3:uid="{6459A497-F262-4A71-A830-8491C49D739F}" name="Unit Change" dataDxfId="119"/>
    <tableColumn id="3" xr3:uid="{CB60BEE5-23CA-4C2D-BA20-0ABF5B5A9655}" name="Direction" dataDxfId="118"/>
    <tableColumn id="7" xr3:uid="{8F092510-CB6B-481D-9CA1-29D2C325DD86}" name="Custom Angular Direction" dataDxfId="117"/>
    <tableColumn id="2" xr3:uid="{C892C3CE-15E9-4EE8-B044-D3413BAA8F9C}" name="Offset Change" dataDxfId="116"/>
    <tableColumn id="6" xr3:uid="{07B75A9C-0CFD-4E05-9177-83D743F69734}" name="Angular Direction" dataDxfId="115"/>
    <tableColumn id="4" xr3:uid="{79F9051C-4C5D-48DB-B2F7-B89EA5571429}" name="X-Axis" dataDxfId="114"/>
    <tableColumn id="5" xr3:uid="{87C44826-ABF5-4879-9835-AFE25C608BA5}" name="Y-Axis" dataDxfId="113"/>
    <tableColumn id="9" xr3:uid="{F3CADADA-4D6C-4ABB-9813-F2EE4CE0B2B5}" name="Area sum" dataDxfId="112"/>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A09C1BE-033E-4C39-AECD-0281594F03CC}" name="FirstFloorPerimeter" displayName="FirstFloorPerimeter" ref="A14:B20" totalsRowShown="0" headerRowDxfId="111" dataDxfId="110">
  <tableColumns count="2">
    <tableColumn id="1" xr3:uid="{94EE104A-8EE7-48C6-A7E9-1DA272FACC40}" name="Name" dataDxfId="109"/>
    <tableColumn id="2" xr3:uid="{C8596AD0-5FE1-44A0-96CA-0AD170B385CA}" name="SUM (SF)" dataDxfId="108">
      <calculatedColumnFormula>SUMIF(FirstFloor[Wall Type],A15,Basement[Offset Change])</calculatedColumnFormula>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0E9DBF0-7FBC-43CD-A24B-E2EAB7E31A0B}" name="Table1924" displayName="Table1924" ref="A22:A26" totalsRowShown="0" headerRowDxfId="107" dataDxfId="106">
  <tableColumns count="1">
    <tableColumn id="1" xr3:uid="{215A8A0E-ED2C-4AFA-9394-987DCA9E0D2B}" name="Areas to subtract" dataDxfId="10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table" Target="../tables/table5.xml"/></Relationships>
</file>

<file path=xl/worksheets/_rels/sheet3.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table" Target="../tables/table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table" Target="../tables/table13.xml"/><Relationship Id="rId5" Type="http://schemas.openxmlformats.org/officeDocument/2006/relationships/table" Target="../tables/table12.xml"/><Relationship Id="rId4" Type="http://schemas.openxmlformats.org/officeDocument/2006/relationships/table" Target="../tables/table1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table" Target="../tables/table17.xml"/><Relationship Id="rId5" Type="http://schemas.openxmlformats.org/officeDocument/2006/relationships/table" Target="../tables/table16.xml"/><Relationship Id="rId4" Type="http://schemas.openxmlformats.org/officeDocument/2006/relationships/table" Target="../tables/table1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table" Target="../tables/table21.xml"/><Relationship Id="rId5" Type="http://schemas.openxmlformats.org/officeDocument/2006/relationships/table" Target="../tables/table20.xml"/><Relationship Id="rId4" Type="http://schemas.openxmlformats.org/officeDocument/2006/relationships/table" Target="../tables/table1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table" Target="../tables/table24.xml"/><Relationship Id="rId4" Type="http://schemas.openxmlformats.org/officeDocument/2006/relationships/table" Target="../tables/table23.xml"/></Relationships>
</file>

<file path=xl/worksheets/_rels/sheet8.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table" Target="../tables/table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726B2-E370-4C62-AB13-C656B8761ADC}">
  <sheetPr codeName="Sheet1"/>
  <dimension ref="A1:O52"/>
  <sheetViews>
    <sheetView tabSelected="1" zoomScale="70" zoomScaleNormal="70" workbookViewId="0">
      <selection activeCell="C7" sqref="C7"/>
    </sheetView>
  </sheetViews>
  <sheetFormatPr defaultRowHeight="14.25" x14ac:dyDescent="0.45"/>
  <cols>
    <col min="1" max="1" width="19.6640625" bestFit="1" customWidth="1"/>
    <col min="2" max="2" width="17" bestFit="1" customWidth="1"/>
    <col min="3" max="3" width="22.9296875" customWidth="1"/>
    <col min="4" max="4" width="20.59765625" bestFit="1" customWidth="1"/>
    <col min="5" max="5" width="17.53125" bestFit="1" customWidth="1"/>
    <col min="6" max="6" width="16.46484375" bestFit="1" customWidth="1"/>
    <col min="7" max="7" width="15.9296875" customWidth="1"/>
    <col min="8" max="8" width="26.73046875" bestFit="1" customWidth="1"/>
    <col min="9" max="9" width="17.53125" bestFit="1" customWidth="1"/>
    <col min="10" max="10" width="20.19921875" bestFit="1" customWidth="1"/>
    <col min="11" max="11" width="12.59765625" bestFit="1" customWidth="1"/>
    <col min="12" max="12" width="11.19921875" customWidth="1"/>
    <col min="13" max="13" width="13.73046875" customWidth="1"/>
    <col min="14" max="14" width="16.86328125" bestFit="1" customWidth="1"/>
    <col min="15" max="15" width="16.06640625" bestFit="1" customWidth="1"/>
    <col min="16" max="16" width="27" customWidth="1"/>
    <col min="17" max="17" width="17.3984375" customWidth="1"/>
    <col min="18" max="18" width="34.265625" customWidth="1"/>
  </cols>
  <sheetData>
    <row r="1" spans="1:14" ht="14.25" customHeight="1" x14ac:dyDescent="0.45">
      <c r="A1" s="76" t="s">
        <v>209</v>
      </c>
      <c r="B1" s="76"/>
      <c r="C1" s="76"/>
    </row>
    <row r="2" spans="1:14" x14ac:dyDescent="0.45">
      <c r="A2" s="76"/>
      <c r="B2" s="76"/>
      <c r="C2" s="76"/>
    </row>
    <row r="3" spans="1:14" x14ac:dyDescent="0.45">
      <c r="A3" s="76"/>
      <c r="B3" s="76"/>
      <c r="C3" s="76"/>
    </row>
    <row r="4" spans="1:14" x14ac:dyDescent="0.45">
      <c r="A4" s="76"/>
      <c r="B4" s="76"/>
      <c r="C4" s="76"/>
    </row>
    <row r="5" spans="1:14" x14ac:dyDescent="0.45">
      <c r="A5" s="76"/>
      <c r="B5" s="76"/>
      <c r="C5" s="76"/>
    </row>
    <row r="6" spans="1:14" x14ac:dyDescent="0.45">
      <c r="A6" s="53"/>
    </row>
    <row r="7" spans="1:14" ht="14.65" thickBot="1" x14ac:dyDescent="0.5"/>
    <row r="8" spans="1:14" ht="14.65" thickBot="1" x14ac:dyDescent="0.5">
      <c r="A8" s="13" t="s">
        <v>17</v>
      </c>
      <c r="B8" s="63"/>
      <c r="D8" s="74" t="s">
        <v>192</v>
      </c>
      <c r="E8" s="75"/>
      <c r="I8" t="s">
        <v>145</v>
      </c>
    </row>
    <row r="9" spans="1:14" x14ac:dyDescent="0.45">
      <c r="A9" s="14" t="s">
        <v>18</v>
      </c>
      <c r="B9" s="50"/>
      <c r="D9" s="19" t="s">
        <v>51</v>
      </c>
      <c r="E9" s="19">
        <f>$K$42+IF(B24=0,B25,B24)</f>
        <v>4790</v>
      </c>
      <c r="I9" s="80"/>
      <c r="J9" s="80"/>
      <c r="K9" s="80"/>
      <c r="L9" s="80"/>
      <c r="M9" s="80"/>
      <c r="N9" s="80"/>
    </row>
    <row r="10" spans="1:14" ht="14.65" thickBot="1" x14ac:dyDescent="0.5">
      <c r="A10" s="32" t="s">
        <v>19</v>
      </c>
      <c r="B10" s="64"/>
      <c r="D10" s="20" t="s">
        <v>52</v>
      </c>
      <c r="E10" s="20">
        <f>$B$30</f>
        <v>1660</v>
      </c>
      <c r="I10" s="81"/>
      <c r="J10" s="81"/>
      <c r="K10" s="81"/>
      <c r="L10" s="81"/>
      <c r="M10" s="81"/>
      <c r="N10" s="81"/>
    </row>
    <row r="11" spans="1:14" x14ac:dyDescent="0.45">
      <c r="B11" s="23"/>
      <c r="D11" s="20" t="s">
        <v>53</v>
      </c>
      <c r="E11" s="20">
        <f>$F$30</f>
        <v>13680</v>
      </c>
      <c r="I11" s="81"/>
      <c r="J11" s="81"/>
      <c r="K11" s="81"/>
      <c r="L11" s="81"/>
      <c r="M11" s="81"/>
      <c r="N11" s="81"/>
    </row>
    <row r="12" spans="1:14" x14ac:dyDescent="0.45">
      <c r="B12" s="23"/>
      <c r="D12" s="20" t="s">
        <v>54</v>
      </c>
      <c r="E12" s="71">
        <f>Windows!$D$94</f>
        <v>238.11111111111109</v>
      </c>
      <c r="I12" s="81"/>
      <c r="J12" s="81"/>
      <c r="K12" s="81"/>
      <c r="L12" s="81"/>
      <c r="M12" s="81"/>
      <c r="N12" s="81"/>
    </row>
    <row r="13" spans="1:14" x14ac:dyDescent="0.45">
      <c r="B13" s="23"/>
      <c r="D13" s="20" t="s">
        <v>144</v>
      </c>
      <c r="E13" s="65">
        <v>2</v>
      </c>
      <c r="I13" s="81"/>
      <c r="J13" s="81"/>
      <c r="K13" s="81"/>
      <c r="L13" s="81"/>
      <c r="M13" s="81"/>
      <c r="N13" s="81"/>
    </row>
    <row r="14" spans="1:14" x14ac:dyDescent="0.45">
      <c r="B14" s="23"/>
      <c r="D14" s="20" t="s">
        <v>50</v>
      </c>
      <c r="E14" s="65">
        <v>3</v>
      </c>
      <c r="I14" s="81"/>
      <c r="J14" s="81"/>
      <c r="K14" s="81"/>
      <c r="L14" s="81"/>
      <c r="M14" s="81"/>
      <c r="N14" s="81"/>
    </row>
    <row r="15" spans="1:14" x14ac:dyDescent="0.45">
      <c r="B15" s="23"/>
      <c r="D15" s="20" t="s">
        <v>55</v>
      </c>
      <c r="E15" s="65" t="s">
        <v>187</v>
      </c>
      <c r="I15" s="81"/>
      <c r="J15" s="81"/>
      <c r="K15" s="81"/>
      <c r="L15" s="81"/>
      <c r="M15" s="81"/>
      <c r="N15" s="81"/>
    </row>
    <row r="16" spans="1:14" ht="14.65" thickBot="1" x14ac:dyDescent="0.5">
      <c r="B16" s="23"/>
      <c r="D16" s="21" t="s">
        <v>142</v>
      </c>
      <c r="E16" s="33" t="str">
        <f>IF(Windows!A38="","",Windows!A38)</f>
        <v>North</v>
      </c>
      <c r="I16" s="82"/>
      <c r="J16" s="82"/>
      <c r="K16" s="82"/>
      <c r="L16" s="82"/>
      <c r="M16" s="82"/>
      <c r="N16" s="82"/>
    </row>
    <row r="17" spans="1:6" x14ac:dyDescent="0.45">
      <c r="B17" s="23"/>
    </row>
    <row r="18" spans="1:6" x14ac:dyDescent="0.45">
      <c r="B18" s="23"/>
    </row>
    <row r="19" spans="1:6" x14ac:dyDescent="0.45">
      <c r="B19" s="23"/>
    </row>
    <row r="21" spans="1:6" ht="18" x14ac:dyDescent="0.55000000000000004">
      <c r="A21" s="79" t="s">
        <v>143</v>
      </c>
      <c r="B21" s="79"/>
      <c r="C21" s="79"/>
      <c r="D21" s="79"/>
      <c r="E21" s="79"/>
      <c r="F21" s="79"/>
    </row>
    <row r="22" spans="1:6" ht="18" x14ac:dyDescent="0.55000000000000004">
      <c r="A22" s="25"/>
      <c r="B22" s="25"/>
      <c r="C22" s="25"/>
      <c r="D22" s="25"/>
      <c r="E22" s="25"/>
      <c r="F22" s="25"/>
    </row>
    <row r="23" spans="1:6" x14ac:dyDescent="0.45">
      <c r="A23" t="s">
        <v>47</v>
      </c>
      <c r="B23" t="s">
        <v>208</v>
      </c>
      <c r="C23" t="s">
        <v>46</v>
      </c>
      <c r="D23" t="s">
        <v>185</v>
      </c>
      <c r="E23" t="s">
        <v>34</v>
      </c>
      <c r="F23" t="s">
        <v>21</v>
      </c>
    </row>
    <row r="24" spans="1:6" x14ac:dyDescent="0.45">
      <c r="A24" t="s">
        <v>146</v>
      </c>
      <c r="B24">
        <f>'Bsmt-Found'!B2</f>
        <v>0</v>
      </c>
      <c r="D24" s="58"/>
      <c r="F24">
        <f>IF(E15="Conditioned Crawl",B25*D24+C25*E24,B24*D24+C24*E24)</f>
        <v>0</v>
      </c>
    </row>
    <row r="25" spans="1:6" x14ac:dyDescent="0.45">
      <c r="A25" t="s">
        <v>76</v>
      </c>
      <c r="B25">
        <f>'1st Floor'!B2</f>
        <v>1060</v>
      </c>
      <c r="C25">
        <f>'1st Floor'!B4</f>
        <v>0</v>
      </c>
      <c r="D25" s="58">
        <v>8</v>
      </c>
      <c r="E25" s="58"/>
      <c r="F25">
        <f>IF(E15="Conditioned Crawl",B25*D25+B25*MainAreaAndVolumes[[#This Row],[Rim Joist Height]],MainAreaAndVolumes[[#This Row],[Conditioned area (sf)]]*MainAreaAndVolumes[[#This Row],[Wall Height (ft)]]+MainAreaAndVolumes[[#This Row],[Floor Overlap area (sf)]]*MainAreaAndVolumes[[#This Row],[Rim Joist Height]])</f>
        <v>8480</v>
      </c>
    </row>
    <row r="26" spans="1:6" x14ac:dyDescent="0.45">
      <c r="A26" t="s">
        <v>77</v>
      </c>
      <c r="B26">
        <f>'2nd Floor'!B2</f>
        <v>600</v>
      </c>
      <c r="C26">
        <f>'2nd Floor'!B4</f>
        <v>400</v>
      </c>
      <c r="D26" s="58">
        <v>8</v>
      </c>
      <c r="E26" s="58">
        <v>1</v>
      </c>
      <c r="F26">
        <f>B26*D26+C26*E26</f>
        <v>5200</v>
      </c>
    </row>
    <row r="27" spans="1:6" x14ac:dyDescent="0.45">
      <c r="A27" t="s">
        <v>157</v>
      </c>
      <c r="B27">
        <f>'3rd Floor'!B2</f>
        <v>0</v>
      </c>
      <c r="C27">
        <f>'3rd Floor'!B4</f>
        <v>0</v>
      </c>
      <c r="D27" s="58"/>
      <c r="E27" s="58"/>
      <c r="F27">
        <f>B27*D27+C27*E27</f>
        <v>0</v>
      </c>
    </row>
    <row r="28" spans="1:6" x14ac:dyDescent="0.45">
      <c r="A28" t="s">
        <v>158</v>
      </c>
      <c r="B28">
        <f>'4th Floor'!B2</f>
        <v>0</v>
      </c>
      <c r="C28">
        <f>'4th Floor'!B4</f>
        <v>0</v>
      </c>
      <c r="D28" s="58"/>
      <c r="E28" s="58"/>
      <c r="F28">
        <f>B28*D28+C28*E28</f>
        <v>0</v>
      </c>
    </row>
    <row r="29" spans="1:6" ht="14.65" thickBot="1" x14ac:dyDescent="0.5">
      <c r="A29" s="30"/>
      <c r="B29" s="30"/>
      <c r="C29" s="30"/>
      <c r="D29" s="30"/>
      <c r="E29" t="s">
        <v>167</v>
      </c>
      <c r="F29">
        <f>SUM(VaultsAndRaisedCeilings[Volume])</f>
        <v>0</v>
      </c>
    </row>
    <row r="30" spans="1:6" ht="14.65" thickBot="1" x14ac:dyDescent="0.5">
      <c r="A30" s="16" t="s">
        <v>26</v>
      </c>
      <c r="B30" s="17">
        <f>SUM(B24:B28)</f>
        <v>1660</v>
      </c>
      <c r="C30" s="17">
        <f>SUM(C24:C28)</f>
        <v>400</v>
      </c>
      <c r="D30" s="17"/>
      <c r="E30" s="17"/>
      <c r="F30" s="18">
        <f>SUM(F24:F29)</f>
        <v>13680</v>
      </c>
    </row>
    <row r="31" spans="1:6" x14ac:dyDescent="0.45">
      <c r="A31" s="10"/>
      <c r="B31" s="10"/>
      <c r="C31" s="10"/>
      <c r="D31" s="10"/>
      <c r="E31" s="10"/>
      <c r="F31" s="10"/>
    </row>
    <row r="32" spans="1:6" x14ac:dyDescent="0.45">
      <c r="A32" s="31"/>
    </row>
    <row r="33" spans="1:15" ht="18" x14ac:dyDescent="0.55000000000000004">
      <c r="A33" s="79" t="s">
        <v>154</v>
      </c>
      <c r="B33" s="79"/>
      <c r="C33" s="79"/>
      <c r="D33" s="79"/>
      <c r="E33" s="79"/>
      <c r="F33" s="79"/>
      <c r="G33" s="79"/>
      <c r="H33" s="79"/>
      <c r="I33" s="79"/>
      <c r="J33" s="79"/>
      <c r="K33" s="79"/>
    </row>
    <row r="34" spans="1:15" ht="18" x14ac:dyDescent="0.55000000000000004">
      <c r="A34" s="25"/>
      <c r="B34" s="36" t="s">
        <v>172</v>
      </c>
      <c r="C34" s="36" t="s">
        <v>170</v>
      </c>
      <c r="D34" s="36" t="s">
        <v>171</v>
      </c>
      <c r="E34" s="36" t="s">
        <v>170</v>
      </c>
      <c r="F34" s="36" t="s">
        <v>170</v>
      </c>
      <c r="G34" s="25"/>
      <c r="H34" s="25"/>
      <c r="I34" s="25"/>
      <c r="J34" s="25"/>
      <c r="K34" s="25"/>
    </row>
    <row r="35" spans="1:15" x14ac:dyDescent="0.45">
      <c r="A35" t="s">
        <v>156</v>
      </c>
      <c r="B35" t="s">
        <v>149</v>
      </c>
      <c r="C35" t="s">
        <v>168</v>
      </c>
      <c r="D35" t="s">
        <v>169</v>
      </c>
      <c r="E35" t="s">
        <v>150</v>
      </c>
      <c r="F35" t="s">
        <v>147</v>
      </c>
      <c r="G35" t="s">
        <v>152</v>
      </c>
      <c r="H35" t="s">
        <v>160</v>
      </c>
      <c r="I35" s="4" t="s">
        <v>159</v>
      </c>
      <c r="J35" t="s">
        <v>153</v>
      </c>
      <c r="K35" t="s">
        <v>148</v>
      </c>
    </row>
    <row r="36" spans="1:15" x14ac:dyDescent="0.45">
      <c r="A36" t="s">
        <v>146</v>
      </c>
      <c r="B36">
        <f>INDEX(BasementPerimeters[SUM (SF)],MATCH($B35,BasementPerimeters[Name],0))*$D$24</f>
        <v>0</v>
      </c>
      <c r="C36">
        <f>INDEX(BasementPerimeters[SUM (SF)],MATCH(C35,BasementPerimeters[Name],0))*$D$24</f>
        <v>0</v>
      </c>
      <c r="D36">
        <f>INDEX(BasementPerimeters[SUM (SF)],MATCH(D35,BasementPerimeters[Name],0))*$D$24</f>
        <v>0</v>
      </c>
      <c r="E36">
        <f>INDEX(BasementPerimeters[SUM (SF)],MATCH(E35,BasementPerimeters[Name],0))*$D$24</f>
        <v>0</v>
      </c>
      <c r="F36">
        <f>INDEX(BasementPerimeters[SUM (SF)],MATCH(F35,BasementPerimeters[Name],0))*$D$24</f>
        <v>0</v>
      </c>
      <c r="G36">
        <f>INDEX(BasementPerimeters[SUM (SF)],MATCH($G35,BasementPerimeters[Name],0))*$D$24</f>
        <v>0</v>
      </c>
      <c r="H36" s="26"/>
      <c r="K36">
        <f>SUM(G36:J36)</f>
        <v>0</v>
      </c>
    </row>
    <row r="37" spans="1:15" x14ac:dyDescent="0.45">
      <c r="A37" s="6" t="s">
        <v>76</v>
      </c>
      <c r="B37">
        <f>INDEX(FirstFloorPerimeter[SUM (SF)],MATCH(B$35,FirstFloorPerimeter[Name],0))*$D25</f>
        <v>0</v>
      </c>
      <c r="C37">
        <f>INDEX(FirstFloorPerimeter[SUM (SF)],MATCH(C35,FirstFloorPerimeter[Name],0))*$D25</f>
        <v>984</v>
      </c>
      <c r="D37">
        <f>INDEX(FirstFloorPerimeter[SUM (SF)],MATCH(D35,FirstFloorPerimeter[Name],0))*$D25</f>
        <v>0</v>
      </c>
      <c r="E37">
        <f>INDEX(FirstFloorPerimeter[SUM (SF)],MATCH(E35,FirstFloorPerimeter[Name],0))*$D25</f>
        <v>296</v>
      </c>
      <c r="F37">
        <f>INDEX(FirstFloorPerimeter[SUM (SF)],MATCH(F35,FirstFloorPerimeter[Name],0))*$D25</f>
        <v>0</v>
      </c>
      <c r="G37">
        <f>INDEX(FirstFloorPerimeter[SUM (SF)],MATCH(G$35,FirstFloorPerimeter[Name],0))*$D25</f>
        <v>1280</v>
      </c>
      <c r="H37" s="27" t="str">
        <f>'1st Floor'!$B$7</f>
        <v/>
      </c>
      <c r="I37" s="27">
        <f>'1st Floor'!$B$3</f>
        <v>660</v>
      </c>
      <c r="J37">
        <f>E25*IF(OR(E15="Conditioned Crawl",'1st Floor'!B6="Yes"),'Bsmt-Found'!B10,IF('1st Floor'!B5="Yes",'1st Floor'!B15,SUM(OverlapFirstFloor[Offset Change])))</f>
        <v>0</v>
      </c>
      <c r="K37">
        <f>SUM(G37:J37)</f>
        <v>1940</v>
      </c>
    </row>
    <row r="38" spans="1:15" x14ac:dyDescent="0.45">
      <c r="A38" s="5" t="s">
        <v>77</v>
      </c>
      <c r="B38">
        <f>INDEX(SecondFloorPerimeter[SUM (SF)],MATCH(B$35,SecondFloorPerimeter[Name],0))*$D26</f>
        <v>0</v>
      </c>
      <c r="C38">
        <f>INDEX(SecondFloorPerimeter[SUM (SF)],MATCH(C$35,SecondFloorPerimeter[Name],0))*$D26</f>
        <v>240</v>
      </c>
      <c r="D38">
        <f>INDEX(SecondFloorPerimeter[SUM (SF)],MATCH(D$35,SecondFloorPerimeter[Name],0))*$D26</f>
        <v>0</v>
      </c>
      <c r="E38">
        <f>INDEX(SecondFloorPerimeter[SUM (SF)],MATCH(E$35,SecondFloorPerimeter[Name],0))*$D26</f>
        <v>0</v>
      </c>
      <c r="F38">
        <f>INDEX(SecondFloorPerimeter[SUM (SF)],MATCH(F$35,SecondFloorPerimeter[Name],0))*$D26</f>
        <v>640</v>
      </c>
      <c r="G38">
        <f>INDEX(SecondFloorPerimeter[SUM (SF)],MATCH(G$35,SecondFloorPerimeter[Name],0))*$D26</f>
        <v>880</v>
      </c>
      <c r="H38" s="26">
        <f>'2nd Floor'!$B$7</f>
        <v>200</v>
      </c>
      <c r="I38" s="26">
        <f>'2nd Floor'!$B$3</f>
        <v>600</v>
      </c>
      <c r="J38">
        <f>E26*IF('2nd Floor'!B6="Yes",SUM(FirstFloor[Offset Change]),IF('2nd Floor'!B5="Yes",SUM(SecondFloor[Offset Change]),SUM(OverlapSecondFloor[Offset Change])))</f>
        <v>110</v>
      </c>
      <c r="K38">
        <f t="shared" ref="K38:K40" si="0">SUM(G38:J38)</f>
        <v>1790</v>
      </c>
    </row>
    <row r="39" spans="1:15" x14ac:dyDescent="0.45">
      <c r="A39" s="6" t="s">
        <v>157</v>
      </c>
      <c r="B39">
        <f>INDEX(ThirdFloorPerimeter[SUM (SF)],MATCH(B$35,ThirdFloorPerimeter[Name],0))*$D27</f>
        <v>0</v>
      </c>
      <c r="C39">
        <f>INDEX(ThirdFloorPerimeter[SUM (SF)],MATCH(C35,ThirdFloorPerimeter[Name],0))*$D27</f>
        <v>0</v>
      </c>
      <c r="D39">
        <f>INDEX(ThirdFloorPerimeter[SUM (SF)],MATCH(D35,ThirdFloorPerimeter[Name],0))*$D27</f>
        <v>0</v>
      </c>
      <c r="E39">
        <f>INDEX(ThirdFloorPerimeter[SUM (SF)],MATCH(E35,ThirdFloorPerimeter[Name],0))*$D27</f>
        <v>0</v>
      </c>
      <c r="F39">
        <f>INDEX(ThirdFloorPerimeter[SUM (SF)],MATCH(F35,ThirdFloorPerimeter[Name],0))*$D27</f>
        <v>0</v>
      </c>
      <c r="G39">
        <f>INDEX(ThirdFloorPerimeter[SUM (SF)],MATCH(G$35,ThirdFloorPerimeter[Name],0))*$D27</f>
        <v>0</v>
      </c>
      <c r="H39" s="27">
        <f>'3rd Floor'!$B$7</f>
        <v>0</v>
      </c>
      <c r="I39" s="27">
        <f>'3rd Floor'!$B$3</f>
        <v>0</v>
      </c>
      <c r="J39">
        <f>E27*IF('3rd Floor'!B6="Yes",SUM(SecondFloor[Offset Change]),IF('3rd Floor'!B5="Yes",SUM(ThirdFloor[Offset Change]),SUM(OverlapThirdFloor[Offset Change])))</f>
        <v>0</v>
      </c>
      <c r="K39">
        <f t="shared" si="0"/>
        <v>0</v>
      </c>
    </row>
    <row r="40" spans="1:15" x14ac:dyDescent="0.45">
      <c r="A40" s="5" t="s">
        <v>158</v>
      </c>
      <c r="B40">
        <f>INDEX(FourthFloorPerimeter[SUM (SF)],MATCH(B$35,FourthFloorPerimeter[Name],0))*$D28</f>
        <v>0</v>
      </c>
      <c r="C40">
        <f>INDEX(FourthFloorPerimeter[SUM (SF)],MATCH(C35,FourthFloorPerimeter[Name],0))*$D28</f>
        <v>0</v>
      </c>
      <c r="D40">
        <f>INDEX(FourthFloorPerimeter[SUM (SF)],MATCH(D35,FourthFloorPerimeter[Name],0))*$D28</f>
        <v>0</v>
      </c>
      <c r="E40">
        <f>INDEX(FourthFloorPerimeter[SUM (SF)],MATCH(E35,FourthFloorPerimeter[Name],0))*$D28</f>
        <v>0</v>
      </c>
      <c r="F40">
        <f>INDEX(FourthFloorPerimeter[SUM (SF)],MATCH(F35,FourthFloorPerimeter[Name],0))*$D28</f>
        <v>0</v>
      </c>
      <c r="G40">
        <f>INDEX(FourthFloorPerimeter[SUM (SF)],MATCH(G$35,FourthFloorPerimeter[Name],0))*$D28</f>
        <v>0</v>
      </c>
      <c r="H40" s="26">
        <f>'4th Floor'!$B$7</f>
        <v>0</v>
      </c>
      <c r="I40" s="26">
        <f>'4th Floor'!$B$3</f>
        <v>0</v>
      </c>
      <c r="J40">
        <f>E28*IF('4th Floor'!B6="Yes",SUM(ThirdFloor[Offset Change]),IF('4th Floor'!B5="Yes",SUM(FourthFloor[Offset Change]),SUM(OverlapFourthFloor[Offset Change])))</f>
        <v>0</v>
      </c>
      <c r="K40">
        <f t="shared" si="0"/>
        <v>0</v>
      </c>
    </row>
    <row r="41" spans="1:15" ht="14.65" thickBot="1" x14ac:dyDescent="0.5">
      <c r="A41" s="29" t="s">
        <v>164</v>
      </c>
      <c r="B41" s="30"/>
      <c r="C41" s="10">
        <f>SUM(VaultsAndRaisedCeilings[Main Wall Area])</f>
        <v>0</v>
      </c>
      <c r="D41" s="30"/>
      <c r="E41" s="30"/>
      <c r="F41" s="10">
        <f>SUM(VaultsAndRaisedCeilings[Kneewall Area])</f>
        <v>0</v>
      </c>
      <c r="G41" s="10">
        <f>SUM(Table22[[#This Row],[Foundation Wall]:[Kneewall]])</f>
        <v>0</v>
      </c>
      <c r="H41" s="30"/>
      <c r="I41" s="29">
        <f>SUM(VaultsAndRaisedCeilings[Difference])</f>
        <v>0</v>
      </c>
      <c r="J41" s="30"/>
      <c r="K41" s="10">
        <f>SUM(G41:J41)</f>
        <v>0</v>
      </c>
    </row>
    <row r="42" spans="1:15" ht="14.65" thickBot="1" x14ac:dyDescent="0.5">
      <c r="A42" s="16" t="s">
        <v>26</v>
      </c>
      <c r="B42" s="17">
        <f>SUM(Table22[Foundation Wall])</f>
        <v>0</v>
      </c>
      <c r="C42" s="17">
        <f>SUM(Table22[Main Wall])</f>
        <v>1224</v>
      </c>
      <c r="D42" s="17">
        <f>SUM(Table22[Secondary Wall])</f>
        <v>0</v>
      </c>
      <c r="E42" s="17">
        <f>SUM(Table22[Garage Wall])</f>
        <v>296</v>
      </c>
      <c r="F42" s="17">
        <f>SUM(Table22[Kneewall])</f>
        <v>640</v>
      </c>
      <c r="G42" s="17">
        <f>SUM(Table22[Total Wall])-E12</f>
        <v>1921.8888888888889</v>
      </c>
      <c r="H42" s="17">
        <f>SUM(Table22[Catelievered Floor area])</f>
        <v>200</v>
      </c>
      <c r="I42" s="17">
        <f>SUM(Table22[Ceiling area])</f>
        <v>1260</v>
      </c>
      <c r="J42" s="17">
        <f>SUM(Table22[Rim Joist])</f>
        <v>110</v>
      </c>
      <c r="K42" s="18">
        <f>SUM(Table22[Total])</f>
        <v>3730</v>
      </c>
    </row>
    <row r="43" spans="1:15" x14ac:dyDescent="0.45">
      <c r="A43" s="10"/>
      <c r="B43" s="10"/>
      <c r="C43" s="10"/>
      <c r="D43" s="10"/>
      <c r="E43" s="10"/>
      <c r="F43" s="10"/>
      <c r="G43" s="10"/>
      <c r="H43" s="10"/>
      <c r="I43" s="10"/>
      <c r="J43" s="10"/>
      <c r="K43" s="10"/>
    </row>
    <row r="45" spans="1:15" ht="18.399999999999999" thickBot="1" x14ac:dyDescent="0.6">
      <c r="A45" s="79" t="s">
        <v>49</v>
      </c>
      <c r="B45" s="79"/>
      <c r="C45" s="79"/>
      <c r="D45" s="79"/>
      <c r="E45" s="79"/>
      <c r="F45" s="79"/>
      <c r="G45" s="79"/>
      <c r="H45" s="79"/>
      <c r="I45" s="79"/>
      <c r="J45" s="79"/>
      <c r="K45" s="79"/>
      <c r="L45" s="79"/>
      <c r="M45" s="79"/>
      <c r="N45" s="79"/>
      <c r="O45" s="79"/>
    </row>
    <row r="46" spans="1:15" ht="18" x14ac:dyDescent="0.55000000000000004">
      <c r="A46" s="25"/>
      <c r="B46" s="25"/>
      <c r="C46" s="66" t="s">
        <v>194</v>
      </c>
      <c r="D46" s="25"/>
      <c r="E46" s="25"/>
      <c r="F46" s="25"/>
      <c r="G46" s="25"/>
      <c r="H46" s="25"/>
      <c r="I46" s="25"/>
      <c r="J46" s="25"/>
      <c r="K46" s="25"/>
      <c r="L46" s="77" t="s">
        <v>166</v>
      </c>
      <c r="M46" s="78"/>
      <c r="N46" s="25"/>
      <c r="O46" s="25"/>
    </row>
    <row r="47" spans="1:15" x14ac:dyDescent="0.45">
      <c r="A47" t="s">
        <v>130</v>
      </c>
      <c r="B47" t="s">
        <v>22</v>
      </c>
      <c r="C47" t="s">
        <v>23</v>
      </c>
      <c r="D47" t="s">
        <v>24</v>
      </c>
      <c r="E47" t="s">
        <v>25</v>
      </c>
      <c r="F47" t="s">
        <v>20</v>
      </c>
      <c r="G47" t="s">
        <v>48</v>
      </c>
      <c r="H47" t="s">
        <v>21</v>
      </c>
      <c r="I47" t="s">
        <v>27</v>
      </c>
      <c r="J47" t="s">
        <v>173</v>
      </c>
      <c r="K47" t="s">
        <v>165</v>
      </c>
      <c r="L47" s="14" t="s">
        <v>161</v>
      </c>
      <c r="M47" s="15" t="s">
        <v>162</v>
      </c>
      <c r="N47" t="s">
        <v>163</v>
      </c>
      <c r="O47" t="s">
        <v>199</v>
      </c>
    </row>
    <row r="48" spans="1:15" x14ac:dyDescent="0.45">
      <c r="A48" s="58"/>
      <c r="B48" s="58"/>
      <c r="C48" s="58"/>
      <c r="D48" s="58"/>
      <c r="E48" s="58"/>
      <c r="F48" s="58"/>
      <c r="G48" t="str">
        <f t="shared" ref="G48:G52" si="1">IF(OR(B48="Full Triangle",B48="Partial Triangle"),D48*E48*0.5,IF(B48="Rectangle",D48*E48,IF(B48="Trapazoid",((2*D48-2*(E48/(C48/12)))/2)*E48,"Select Shape")))</f>
        <v>Select Shape</v>
      </c>
      <c r="H48" t="str">
        <f>IFERROR(VaultsAndRaisedCeilings[[#This Row],[Shape Area]]*VaultsAndRaisedCeilings[[#This Row],[Length]],"")</f>
        <v/>
      </c>
      <c r="I48" t="str">
        <f t="shared" ref="I48:I51" si="2">IF(OR(B48="Full Triangle",B48="Partial Triangle"),SQRT(((D48/2)^2)+E48^2)*F48*2,IF(B48="Square",D48*F48,IF(B48="Trapazoid",2*((E48^2+(E48/C48)^2)^0.5+2*D48-2*(E48/C48)),"")))</f>
        <v/>
      </c>
      <c r="J48">
        <f>IF(VaultsAndRaisedCeilings[[#This Row],[Shape]]="Square","",D48*F48)</f>
        <v>0</v>
      </c>
      <c r="K48" t="str">
        <f>IFERROR(VaultsAndRaisedCeilings[[#This Row],[Ceiling Area]]-VaultsAndRaisedCeilings[[#This Row],[Floor-shape area]],"")</f>
        <v/>
      </c>
      <c r="L48" s="59"/>
      <c r="M48" s="60"/>
      <c r="N48" t="str">
        <f>IF(VaultsAndRaisedCeilings[[#This Row],[Shape]]="Rectangle",(VaultsAndRaisedCeilings[[#This Row],[base]]*VaultsAndRaisedCeilings[[#This Row],[height]]*2+VaultsAndRaisedCeilings[[#This Row],[Length]]*VaultsAndRaisedCeilings[[#This Row],[height]]*2)*VaultsAndRaisedCeilings[[#This Row],[Attic]],IF(OR(VaultsAndRaisedCeilings[[#This Row],[Shape]]="Full Triangle",VaultsAndRaisedCeilings[[#This Row],[Shape]]="Trapazoid"),VaultsAndRaisedCeilings[[#This Row],[Shape Area]]*2*VaultsAndRaisedCeilings[[#This Row],[Attic]],IF(VaultsAndRaisedCeilings[[#This Row],[Shape]]="Partial Triangle",(VaultsAndRaisedCeilings[[#This Row],[Shape Area]]*2+VaultsAndRaisedCeilings[[#This Row],[height]]*VaultsAndRaisedCeilings[[#This Row],[Length]])*VaultsAndRaisedCeilings[[#This Row],[Attic]],"Select Shape")))</f>
        <v>Select Shape</v>
      </c>
      <c r="O48" t="str">
        <f>IF(VaultsAndRaisedCeilings[[#This Row],[Shape]]="Rectangle",(VaultsAndRaisedCeilings[[#This Row],[base]]*VaultsAndRaisedCeilings[[#This Row],[height]]*2+VaultsAndRaisedCeilings[[#This Row],[Length]]*VaultsAndRaisedCeilings[[#This Row],[height]]*2)*VaultsAndRaisedCeilings[[#This Row],[Ambient]],IF(OR(VaultsAndRaisedCeilings[[#This Row],[Shape]]="Full Triangle",VaultsAndRaisedCeilings[[#This Row],[Shape]]="Trapazoid"),VaultsAndRaisedCeilings[[#This Row],[Shape Area]]*2*VaultsAndRaisedCeilings[[#This Row],[Ambient]],IF(VaultsAndRaisedCeilings[[#This Row],[Shape]]="Partial Triangle",(VaultsAndRaisedCeilings[[#This Row],[Shape Area]]*2+VaultsAndRaisedCeilings[[#This Row],[height]]*VaultsAndRaisedCeilings[[#This Row],[Length]])*VaultsAndRaisedCeilings[[#This Row],[Ambient]],"Select Shape")))</f>
        <v>Select Shape</v>
      </c>
    </row>
    <row r="49" spans="1:15" x14ac:dyDescent="0.45">
      <c r="A49" s="58"/>
      <c r="B49" s="58"/>
      <c r="C49" s="58"/>
      <c r="D49" s="58"/>
      <c r="E49" s="58"/>
      <c r="F49" s="58"/>
      <c r="G49" t="str">
        <f t="shared" si="1"/>
        <v>Select Shape</v>
      </c>
      <c r="H49" t="str">
        <f>IFERROR(VaultsAndRaisedCeilings[[#This Row],[Shape Area]]*VaultsAndRaisedCeilings[[#This Row],[Length]],"")</f>
        <v/>
      </c>
      <c r="I49" t="str">
        <f t="shared" si="2"/>
        <v/>
      </c>
      <c r="J49">
        <f>IF(VaultsAndRaisedCeilings[[#This Row],[Shape]]="Square","",D49*F49)</f>
        <v>0</v>
      </c>
      <c r="K49" t="str">
        <f>IFERROR(VaultsAndRaisedCeilings[[#This Row],[Ceiling Area]]-VaultsAndRaisedCeilings[[#This Row],[Floor-shape area]],"")</f>
        <v/>
      </c>
      <c r="L49" s="59"/>
      <c r="M49" s="60"/>
      <c r="N49" t="str">
        <f>IF(VaultsAndRaisedCeilings[[#This Row],[Shape]]="Rectangle",(VaultsAndRaisedCeilings[[#This Row],[base]]*VaultsAndRaisedCeilings[[#This Row],[height]]*2+VaultsAndRaisedCeilings[[#This Row],[Length]]*VaultsAndRaisedCeilings[[#This Row],[height]]*2)*VaultsAndRaisedCeilings[[#This Row],[Attic]],IF(OR(VaultsAndRaisedCeilings[[#This Row],[Shape]]="Full Triangle",VaultsAndRaisedCeilings[[#This Row],[Shape]]="Trapazoid"),VaultsAndRaisedCeilings[[#This Row],[Shape Area]]*2*VaultsAndRaisedCeilings[[#This Row],[Attic]],IF(VaultsAndRaisedCeilings[[#This Row],[Shape]]="Partial Triangle",(VaultsAndRaisedCeilings[[#This Row],[Shape Area]]*2+VaultsAndRaisedCeilings[[#This Row],[height]]*VaultsAndRaisedCeilings[[#This Row],[Length]])*VaultsAndRaisedCeilings[[#This Row],[Attic]],"Select Shape")))</f>
        <v>Select Shape</v>
      </c>
      <c r="O49" t="str">
        <f>IF(VaultsAndRaisedCeilings[[#This Row],[Shape]]="Rectangle",(VaultsAndRaisedCeilings[[#This Row],[base]]*VaultsAndRaisedCeilings[[#This Row],[height]]*2+VaultsAndRaisedCeilings[[#This Row],[Length]]*VaultsAndRaisedCeilings[[#This Row],[height]]*2)*VaultsAndRaisedCeilings[[#This Row],[Ambient]],IF(OR(VaultsAndRaisedCeilings[[#This Row],[Shape]]="Full Triangle",VaultsAndRaisedCeilings[[#This Row],[Shape]]="Trapazoid"),VaultsAndRaisedCeilings[[#This Row],[Shape Area]]*2*VaultsAndRaisedCeilings[[#This Row],[Ambient]],IF(VaultsAndRaisedCeilings[[#This Row],[Shape]]="Partial Triangle",(VaultsAndRaisedCeilings[[#This Row],[Shape Area]]*2+VaultsAndRaisedCeilings[[#This Row],[height]]*VaultsAndRaisedCeilings[[#This Row],[Length]])*VaultsAndRaisedCeilings[[#This Row],[Ambient]],"Select Shape")))</f>
        <v>Select Shape</v>
      </c>
    </row>
    <row r="50" spans="1:15" x14ac:dyDescent="0.45">
      <c r="A50" s="58"/>
      <c r="B50" s="58"/>
      <c r="C50" s="58"/>
      <c r="D50" s="58"/>
      <c r="E50" s="58"/>
      <c r="F50" s="58"/>
      <c r="G50" t="str">
        <f t="shared" si="1"/>
        <v>Select Shape</v>
      </c>
      <c r="H50" t="str">
        <f>IFERROR(VaultsAndRaisedCeilings[[#This Row],[Shape Area]]*VaultsAndRaisedCeilings[[#This Row],[Length]],"")</f>
        <v/>
      </c>
      <c r="I50" t="str">
        <f t="shared" si="2"/>
        <v/>
      </c>
      <c r="J50">
        <f>IF(VaultsAndRaisedCeilings[[#This Row],[Shape]]="Square","",D50*F50)</f>
        <v>0</v>
      </c>
      <c r="K50" t="str">
        <f>IFERROR(VaultsAndRaisedCeilings[[#This Row],[Ceiling Area]]-VaultsAndRaisedCeilings[[#This Row],[Floor-shape area]],"")</f>
        <v/>
      </c>
      <c r="L50" s="59"/>
      <c r="M50" s="60"/>
      <c r="N50" t="str">
        <f>IF(VaultsAndRaisedCeilings[[#This Row],[Shape]]="Rectangle",(VaultsAndRaisedCeilings[[#This Row],[base]]*VaultsAndRaisedCeilings[[#This Row],[height]]*2+VaultsAndRaisedCeilings[[#This Row],[Length]]*VaultsAndRaisedCeilings[[#This Row],[height]]*2)*VaultsAndRaisedCeilings[[#This Row],[Attic]],IF(OR(VaultsAndRaisedCeilings[[#This Row],[Shape]]="Full Triangle",VaultsAndRaisedCeilings[[#This Row],[Shape]]="Trapazoid"),VaultsAndRaisedCeilings[[#This Row],[Shape Area]]*2*VaultsAndRaisedCeilings[[#This Row],[Attic]],IF(VaultsAndRaisedCeilings[[#This Row],[Shape]]="Partial Triangle",(VaultsAndRaisedCeilings[[#This Row],[Shape Area]]*2+VaultsAndRaisedCeilings[[#This Row],[height]]*VaultsAndRaisedCeilings[[#This Row],[Length]])*VaultsAndRaisedCeilings[[#This Row],[Attic]],"Select Shape")))</f>
        <v>Select Shape</v>
      </c>
      <c r="O50" t="str">
        <f>IF(VaultsAndRaisedCeilings[[#This Row],[Shape]]="Rectangle",(VaultsAndRaisedCeilings[[#This Row],[base]]*VaultsAndRaisedCeilings[[#This Row],[height]]*2+VaultsAndRaisedCeilings[[#This Row],[Length]]*VaultsAndRaisedCeilings[[#This Row],[height]]*2)*VaultsAndRaisedCeilings[[#This Row],[Ambient]],IF(OR(VaultsAndRaisedCeilings[[#This Row],[Shape]]="Full Triangle",VaultsAndRaisedCeilings[[#This Row],[Shape]]="Trapazoid"),VaultsAndRaisedCeilings[[#This Row],[Shape Area]]*2*VaultsAndRaisedCeilings[[#This Row],[Ambient]],IF(VaultsAndRaisedCeilings[[#This Row],[Shape]]="Partial Triangle",(VaultsAndRaisedCeilings[[#This Row],[Shape Area]]*2+VaultsAndRaisedCeilings[[#This Row],[height]]*VaultsAndRaisedCeilings[[#This Row],[Length]])*VaultsAndRaisedCeilings[[#This Row],[Ambient]],"Select Shape")))</f>
        <v>Select Shape</v>
      </c>
    </row>
    <row r="51" spans="1:15" x14ac:dyDescent="0.45">
      <c r="A51" s="58"/>
      <c r="B51" s="58"/>
      <c r="C51" s="58"/>
      <c r="D51" s="58"/>
      <c r="E51" s="58"/>
      <c r="F51" s="58"/>
      <c r="G51" t="str">
        <f t="shared" si="1"/>
        <v>Select Shape</v>
      </c>
      <c r="H51" t="str">
        <f>IFERROR(VaultsAndRaisedCeilings[[#This Row],[Shape Area]]*VaultsAndRaisedCeilings[[#This Row],[Length]],"")</f>
        <v/>
      </c>
      <c r="I51" t="str">
        <f t="shared" si="2"/>
        <v/>
      </c>
      <c r="J51">
        <f>IF(VaultsAndRaisedCeilings[[#This Row],[Shape]]="Square","",D51*F51)</f>
        <v>0</v>
      </c>
      <c r="K51" t="str">
        <f>IFERROR(VaultsAndRaisedCeilings[[#This Row],[Ceiling Area]]-VaultsAndRaisedCeilings[[#This Row],[Floor-shape area]],"")</f>
        <v/>
      </c>
      <c r="L51" s="59"/>
      <c r="M51" s="60"/>
      <c r="N51" t="str">
        <f>IF(VaultsAndRaisedCeilings[[#This Row],[Shape]]="Rectangle",(VaultsAndRaisedCeilings[[#This Row],[base]]*VaultsAndRaisedCeilings[[#This Row],[height]]*2+VaultsAndRaisedCeilings[[#This Row],[Length]]*VaultsAndRaisedCeilings[[#This Row],[height]]*2)*VaultsAndRaisedCeilings[[#This Row],[Attic]],IF(OR(VaultsAndRaisedCeilings[[#This Row],[Shape]]="Full Triangle",VaultsAndRaisedCeilings[[#This Row],[Shape]]="Trapazoid"),VaultsAndRaisedCeilings[[#This Row],[Shape Area]]*2*VaultsAndRaisedCeilings[[#This Row],[Attic]],IF(VaultsAndRaisedCeilings[[#This Row],[Shape]]="Partial Triangle",(VaultsAndRaisedCeilings[[#This Row],[Shape Area]]*2+VaultsAndRaisedCeilings[[#This Row],[height]]*VaultsAndRaisedCeilings[[#This Row],[Length]])*VaultsAndRaisedCeilings[[#This Row],[Attic]],"Select Shape")))</f>
        <v>Select Shape</v>
      </c>
      <c r="O51" t="str">
        <f>IF(VaultsAndRaisedCeilings[[#This Row],[Shape]]="Rectangle",(VaultsAndRaisedCeilings[[#This Row],[base]]*VaultsAndRaisedCeilings[[#This Row],[height]]*2+VaultsAndRaisedCeilings[[#This Row],[Length]]*VaultsAndRaisedCeilings[[#This Row],[height]]*2)*VaultsAndRaisedCeilings[[#This Row],[Ambient]],IF(OR(VaultsAndRaisedCeilings[[#This Row],[Shape]]="Full Triangle",VaultsAndRaisedCeilings[[#This Row],[Shape]]="Trapazoid"),VaultsAndRaisedCeilings[[#This Row],[Shape Area]]*2*VaultsAndRaisedCeilings[[#This Row],[Ambient]],IF(VaultsAndRaisedCeilings[[#This Row],[Shape]]="Partial Triangle",(VaultsAndRaisedCeilings[[#This Row],[Shape Area]]*2+VaultsAndRaisedCeilings[[#This Row],[height]]*VaultsAndRaisedCeilings[[#This Row],[Length]])*VaultsAndRaisedCeilings[[#This Row],[Ambient]],"Select Shape")))</f>
        <v>Select Shape</v>
      </c>
    </row>
    <row r="52" spans="1:15" ht="14.65" thickBot="1" x14ac:dyDescent="0.5">
      <c r="A52" s="58"/>
      <c r="B52" s="58"/>
      <c r="C52" s="58"/>
      <c r="D52" s="58"/>
      <c r="E52" s="58"/>
      <c r="F52" s="58"/>
      <c r="G52" t="str">
        <f t="shared" si="1"/>
        <v>Select Shape</v>
      </c>
      <c r="H52" t="str">
        <f>IFERROR(VaultsAndRaisedCeilings[[#This Row],[Shape Area]]*VaultsAndRaisedCeilings[[#This Row],[Length]],"")</f>
        <v/>
      </c>
      <c r="I52" t="str">
        <f t="shared" ref="I52" si="3">IF(OR(B52="Full Triangle",B52="Partial Triangle"),SQRT(((D52/2)^2)+E52^2)*F52*2,IF(B52="Square",D52*F52,IF(B52="Trapazoid",2*((E52^2+(E52/C52)^2)^0.5+2*D52-2*(E52/C52)),"")))</f>
        <v/>
      </c>
      <c r="J52">
        <f>IF(VaultsAndRaisedCeilings[[#This Row],[Shape]]="Square","",D52*F52)</f>
        <v>0</v>
      </c>
      <c r="K52" t="str">
        <f>IFERROR(VaultsAndRaisedCeilings[[#This Row],[Ceiling Area]]-VaultsAndRaisedCeilings[[#This Row],[Floor-shape area]],"")</f>
        <v/>
      </c>
      <c r="L52" s="61"/>
      <c r="M52" s="62"/>
      <c r="N52" t="str">
        <f>IF(VaultsAndRaisedCeilings[[#This Row],[Shape]]="Rectangle",(VaultsAndRaisedCeilings[[#This Row],[base]]*VaultsAndRaisedCeilings[[#This Row],[height]]*2+VaultsAndRaisedCeilings[[#This Row],[Length]]*VaultsAndRaisedCeilings[[#This Row],[height]]*2)*VaultsAndRaisedCeilings[[#This Row],[Attic]],IF(OR(VaultsAndRaisedCeilings[[#This Row],[Shape]]="Full Triangle",VaultsAndRaisedCeilings[[#This Row],[Shape]]="Trapazoid"),VaultsAndRaisedCeilings[[#This Row],[Shape Area]]*2*VaultsAndRaisedCeilings[[#This Row],[Attic]],IF(VaultsAndRaisedCeilings[[#This Row],[Shape]]="Partial Triangle",(VaultsAndRaisedCeilings[[#This Row],[Shape Area]]*2+VaultsAndRaisedCeilings[[#This Row],[height]]*VaultsAndRaisedCeilings[[#This Row],[Length]])*VaultsAndRaisedCeilings[[#This Row],[Attic]],"Select Shape")))</f>
        <v>Select Shape</v>
      </c>
      <c r="O52" t="str">
        <f>IF(VaultsAndRaisedCeilings[[#This Row],[Shape]]="Rectangle",(VaultsAndRaisedCeilings[[#This Row],[base]]*VaultsAndRaisedCeilings[[#This Row],[height]]*2+VaultsAndRaisedCeilings[[#This Row],[Length]]*VaultsAndRaisedCeilings[[#This Row],[height]]*2)*VaultsAndRaisedCeilings[[#This Row],[Ambient]],IF(OR(VaultsAndRaisedCeilings[[#This Row],[Shape]]="Full Triangle",VaultsAndRaisedCeilings[[#This Row],[Shape]]="Trapazoid"),VaultsAndRaisedCeilings[[#This Row],[Shape Area]]*2*VaultsAndRaisedCeilings[[#This Row],[Ambient]],IF(VaultsAndRaisedCeilings[[#This Row],[Shape]]="Partial Triangle",(VaultsAndRaisedCeilings[[#This Row],[Shape Area]]*2+VaultsAndRaisedCeilings[[#This Row],[height]]*VaultsAndRaisedCeilings[[#This Row],[Length]])*VaultsAndRaisedCeilings[[#This Row],[Ambient]],"Select Shape")))</f>
        <v>Select Shape</v>
      </c>
    </row>
  </sheetData>
  <mergeCells count="7">
    <mergeCell ref="D8:E8"/>
    <mergeCell ref="A1:C5"/>
    <mergeCell ref="L46:M46"/>
    <mergeCell ref="A45:O45"/>
    <mergeCell ref="A21:F21"/>
    <mergeCell ref="I9:N16"/>
    <mergeCell ref="A33:K33"/>
  </mergeCells>
  <dataValidations count="4">
    <dataValidation type="list" allowBlank="1" showInputMessage="1" showErrorMessage="1" sqref="E15" xr:uid="{D2C93494-0F59-480D-98A1-061DB86B0836}">
      <formula1>"Slab, Vented Crawl, Conditioned Crawl, Conditioned Basment, Unconditioned Basemet"</formula1>
    </dataValidation>
    <dataValidation type="list" allowBlank="1" showInputMessage="1" showErrorMessage="1" sqref="C34:F34" xr:uid="{632EDBD1-F2A9-4844-9947-143578B3DBCB}">
      <formula1>"2x4, 2x6, 2x8, 2x10"</formula1>
    </dataValidation>
    <dataValidation type="list" allowBlank="1" showInputMessage="1" showErrorMessage="1" sqref="B34" xr:uid="{9D4DB953-45CF-48C5-AF35-8F41A1DC3C46}">
      <formula1>"2x4, 2x6, 2x8, 2x10, Superior,Concrete,CMU"</formula1>
    </dataValidation>
    <dataValidation type="list" allowBlank="1" showInputMessage="1" showErrorMessage="1" sqref="B48:B51" xr:uid="{47B9B611-819F-4B19-B599-B197F0F32476}">
      <formula1>"Full Triangle, Partial Triangle, Trapazoid, Rectangle"</formula1>
    </dataValidation>
  </dataValidations>
  <pageMargins left="0.7" right="0.7" top="0.75" bottom="0.75" header="0.3" footer="0.3"/>
  <pageSetup orientation="portrait" horizontalDpi="1200" verticalDpi="1200" r:id="rId1"/>
  <legacyDrawing r:id="rId2"/>
  <tableParts count="3">
    <tablePart r:id="rId3"/>
    <tablePart r:id="rId4"/>
    <tablePart r:id="rId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433BC-53C0-4473-940E-C197110471FB}">
  <dimension ref="A1:R94"/>
  <sheetViews>
    <sheetView topLeftCell="A22" zoomScale="85" zoomScaleNormal="85" workbookViewId="0">
      <selection activeCell="H37" sqref="H37"/>
    </sheetView>
  </sheetViews>
  <sheetFormatPr defaultRowHeight="14.25" x14ac:dyDescent="0.45"/>
  <cols>
    <col min="1" max="1" width="10.59765625" customWidth="1"/>
    <col min="2" max="2" width="14.86328125" customWidth="1"/>
    <col min="3" max="3" width="10.6640625" customWidth="1"/>
    <col min="4" max="4" width="10.59765625" customWidth="1"/>
    <col min="5" max="5" width="10.3984375" customWidth="1"/>
    <col min="6" max="6" width="14.46484375" customWidth="1"/>
    <col min="7" max="7" width="10.86328125" bestFit="1" customWidth="1"/>
    <col min="18" max="18" width="23.73046875" bestFit="1" customWidth="1"/>
  </cols>
  <sheetData>
    <row r="1" spans="1:18" ht="18" x14ac:dyDescent="0.55000000000000004">
      <c r="A1" s="79" t="s">
        <v>74</v>
      </c>
      <c r="B1" s="79"/>
      <c r="C1" s="79"/>
      <c r="D1" s="79"/>
      <c r="E1" s="79"/>
      <c r="F1" s="79"/>
      <c r="G1" s="79"/>
      <c r="H1" s="79"/>
      <c r="I1" s="79"/>
      <c r="J1" s="79"/>
      <c r="K1" s="79"/>
      <c r="L1" s="79"/>
      <c r="M1" s="79"/>
      <c r="N1" s="79"/>
      <c r="O1" s="79"/>
      <c r="P1" s="79"/>
      <c r="Q1" s="79"/>
      <c r="R1" s="79"/>
    </row>
    <row r="2" spans="1:18" ht="57" x14ac:dyDescent="0.45">
      <c r="A2" s="7" t="s">
        <v>204</v>
      </c>
      <c r="B2" s="7" t="s">
        <v>56</v>
      </c>
      <c r="C2" s="7" t="s">
        <v>57</v>
      </c>
      <c r="D2" s="7" t="s">
        <v>70</v>
      </c>
      <c r="E2" s="7" t="s">
        <v>58</v>
      </c>
      <c r="F2" s="7" t="s">
        <v>59</v>
      </c>
      <c r="G2" s="7" t="s">
        <v>60</v>
      </c>
      <c r="H2" s="7" t="s">
        <v>61</v>
      </c>
      <c r="I2" s="7" t="s">
        <v>62</v>
      </c>
      <c r="J2" s="7" t="s">
        <v>63</v>
      </c>
      <c r="K2" s="7" t="s">
        <v>64</v>
      </c>
      <c r="L2" s="7" t="s">
        <v>65</v>
      </c>
      <c r="M2" s="8" t="s">
        <v>66</v>
      </c>
      <c r="N2" s="7" t="s">
        <v>67</v>
      </c>
      <c r="O2" s="7" t="s">
        <v>130</v>
      </c>
      <c r="P2" s="7" t="s">
        <v>68</v>
      </c>
      <c r="Q2" s="7" t="s">
        <v>69</v>
      </c>
      <c r="R2" s="9" t="s">
        <v>207</v>
      </c>
    </row>
    <row r="3" spans="1:18" x14ac:dyDescent="0.45">
      <c r="A3" s="70">
        <v>13068</v>
      </c>
      <c r="B3" s="58"/>
      <c r="C3" s="58" t="s">
        <v>75</v>
      </c>
      <c r="D3" s="58" t="s">
        <v>186</v>
      </c>
      <c r="E3" s="58" t="s">
        <v>203</v>
      </c>
      <c r="F3" s="10">
        <f>IF(B3="OPT","",IF(IF(LEN(A3)=5,ROUNDDOWN(A3/10000,0),ROUNDDOWN(A3/100000,0))=0,"",IF(LEN(A3)=5,ROUNDDOWN(A3/10000,0),ROUNDDOWN(A3/100000,0))))</f>
        <v>1</v>
      </c>
      <c r="G3" s="10">
        <f>IFERROR(IF(LEN(A3)=5,ROUNDDOWN((A3-(F3*10000))/1000,0),""),"")</f>
        <v>3</v>
      </c>
      <c r="H3" s="10">
        <f>IFERROR(IF(LEN(A3)=5,ROUNDDOWN((A3-(F3*10000+G3*1000))/100, 0),""), "")</f>
        <v>0</v>
      </c>
      <c r="I3" s="10">
        <f>IFERROR(IF(G3+(H3/12)=0, "", G3+(H3/12)),"")</f>
        <v>3</v>
      </c>
      <c r="J3" s="10">
        <f>IFERROR(ROUNDDOWN((A3-(F3*10000+G3*1000+H3*100))/10, 0), "")</f>
        <v>6</v>
      </c>
      <c r="K3" s="10">
        <f>IFERROR(ROUNDDOWN((A3-(F3*10000+G3*1000+H3*100+J3*10))/1, 0), "")</f>
        <v>8</v>
      </c>
      <c r="L3" s="10">
        <f>IFERROR(IF(J3+(K3/12)=0, "", J3+(K3/12)), "")</f>
        <v>6.666666666666667</v>
      </c>
      <c r="M3" s="10">
        <f>IFERROR(IF(I3*L3=0,"",I3*L3), "")</f>
        <v>20</v>
      </c>
      <c r="N3" s="10">
        <f>IFERROR(IF(F3*M3=0, "", F3*M3), "")</f>
        <v>20</v>
      </c>
      <c r="O3" s="10" t="str">
        <f>C3&amp;" "&amp;D3</f>
        <v>Front Shaded</v>
      </c>
      <c r="P3" s="10"/>
      <c r="Q3" s="12"/>
      <c r="R3" s="10" t="str">
        <f>IFERROR(IF(E3 = "","",E3&amp;", 1, "&amp;L3+1), "")</f>
        <v>5', 1, 7.66666666666667</v>
      </c>
    </row>
    <row r="4" spans="1:18" x14ac:dyDescent="0.45">
      <c r="A4" s="70">
        <v>13010</v>
      </c>
      <c r="B4" s="58"/>
      <c r="C4" s="58" t="s">
        <v>75</v>
      </c>
      <c r="D4" s="58" t="s">
        <v>186</v>
      </c>
      <c r="E4" s="58" t="s">
        <v>203</v>
      </c>
      <c r="F4" s="10">
        <f t="shared" ref="F4:F31" si="0">IF(B4="OPT","",IF(IF(LEN(A4)=5,ROUNDDOWN(A4/10000,0),ROUNDDOWN(A4/100000,0))=0,"",IF(LEN(A4)=5,ROUNDDOWN(A4/10000,0),ROUNDDOWN(A4/100000,0))))</f>
        <v>1</v>
      </c>
      <c r="G4" s="10">
        <f t="shared" ref="G4:G31" si="1">IFERROR(IF(LEN(A4)=5,ROUNDDOWN((A4-(F4*10000))/1000,0),""),"")</f>
        <v>3</v>
      </c>
      <c r="H4" s="10">
        <f t="shared" ref="H4:H31" si="2">IFERROR(IF(LEN(A4)=5,ROUNDDOWN((A4-(F4*10000+G4*1000))/100, 0),""), "")</f>
        <v>0</v>
      </c>
      <c r="I4" s="10">
        <f t="shared" ref="I4:I31" si="3">IFERROR(IF(G4+(H4/12)=0, "", G4+(H4/12)),"")</f>
        <v>3</v>
      </c>
      <c r="J4" s="10">
        <f t="shared" ref="J4:J31" si="4">IFERROR(ROUNDDOWN((A4-(F4*10000+G4*1000+H4*100))/10, 0), "")</f>
        <v>1</v>
      </c>
      <c r="K4" s="10">
        <f t="shared" ref="K4:K31" si="5">IFERROR(ROUNDDOWN((A4-(F4*10000+G4*1000+H4*100+J4*10))/1, 0), "")</f>
        <v>0</v>
      </c>
      <c r="L4" s="10">
        <f t="shared" ref="L4:L31" si="6">IFERROR(IF(J4+(K4/12)=0, "", J4+(K4/12)), "")</f>
        <v>1</v>
      </c>
      <c r="M4" s="10">
        <f t="shared" ref="M4:M31" si="7">IFERROR(IF(I4*L4=0,"",I4*L4), "")</f>
        <v>3</v>
      </c>
      <c r="N4" s="10">
        <f t="shared" ref="N4:N31" si="8">IFERROR(IF(F4*M4=0, "", F4*M4), "")</f>
        <v>3</v>
      </c>
      <c r="O4" s="10" t="str">
        <f t="shared" ref="O4:O31" si="9">C4&amp;" "&amp;D4</f>
        <v>Front Shaded</v>
      </c>
      <c r="P4" s="10"/>
      <c r="Q4" s="12"/>
      <c r="R4" s="10" t="str">
        <f t="shared" ref="R4:R31" si="10">IFERROR(IF(E4 = "","",E4&amp;", 1, "&amp;L4+1), "")</f>
        <v>5', 1, 2</v>
      </c>
    </row>
    <row r="5" spans="1:18" x14ac:dyDescent="0.45">
      <c r="A5" s="70">
        <v>22860</v>
      </c>
      <c r="B5" s="58"/>
      <c r="C5" s="58" t="s">
        <v>75</v>
      </c>
      <c r="D5" s="58" t="s">
        <v>76</v>
      </c>
      <c r="E5" s="58"/>
      <c r="F5" s="10">
        <f t="shared" si="0"/>
        <v>2</v>
      </c>
      <c r="G5" s="10">
        <f t="shared" si="1"/>
        <v>2</v>
      </c>
      <c r="H5" s="10">
        <f t="shared" si="2"/>
        <v>8</v>
      </c>
      <c r="I5" s="10">
        <f t="shared" si="3"/>
        <v>2.6666666666666665</v>
      </c>
      <c r="J5" s="10">
        <f t="shared" si="4"/>
        <v>6</v>
      </c>
      <c r="K5" s="10">
        <f t="shared" si="5"/>
        <v>0</v>
      </c>
      <c r="L5" s="10">
        <f t="shared" si="6"/>
        <v>6</v>
      </c>
      <c r="M5" s="10">
        <f t="shared" si="7"/>
        <v>16</v>
      </c>
      <c r="N5" s="10">
        <f t="shared" si="8"/>
        <v>32</v>
      </c>
      <c r="O5" s="10" t="str">
        <f t="shared" si="9"/>
        <v>Front First</v>
      </c>
      <c r="P5" s="10"/>
      <c r="Q5" s="10"/>
      <c r="R5" s="10" t="str">
        <f t="shared" si="10"/>
        <v/>
      </c>
    </row>
    <row r="6" spans="1:18" x14ac:dyDescent="0.45">
      <c r="A6" s="70">
        <v>22860</v>
      </c>
      <c r="B6" s="58"/>
      <c r="C6" s="58" t="s">
        <v>3</v>
      </c>
      <c r="D6" s="58" t="s">
        <v>76</v>
      </c>
      <c r="E6" s="58"/>
      <c r="F6" s="10">
        <f t="shared" si="0"/>
        <v>2</v>
      </c>
      <c r="G6" s="10">
        <f t="shared" si="1"/>
        <v>2</v>
      </c>
      <c r="H6" s="10">
        <f t="shared" si="2"/>
        <v>8</v>
      </c>
      <c r="I6" s="10">
        <f t="shared" si="3"/>
        <v>2.6666666666666665</v>
      </c>
      <c r="J6" s="10">
        <f t="shared" si="4"/>
        <v>6</v>
      </c>
      <c r="K6" s="10">
        <f t="shared" si="5"/>
        <v>0</v>
      </c>
      <c r="L6" s="10">
        <f t="shared" si="6"/>
        <v>6</v>
      </c>
      <c r="M6" s="10">
        <f t="shared" si="7"/>
        <v>16</v>
      </c>
      <c r="N6" s="10">
        <f t="shared" si="8"/>
        <v>32</v>
      </c>
      <c r="O6" s="10" t="str">
        <f t="shared" si="9"/>
        <v>Left First</v>
      </c>
      <c r="P6" s="10"/>
      <c r="Q6" s="10"/>
      <c r="R6" s="10" t="str">
        <f t="shared" si="10"/>
        <v/>
      </c>
    </row>
    <row r="7" spans="1:18" x14ac:dyDescent="0.45">
      <c r="A7" s="70">
        <v>52860</v>
      </c>
      <c r="B7" s="58"/>
      <c r="C7" s="58" t="s">
        <v>78</v>
      </c>
      <c r="D7" s="58" t="s">
        <v>76</v>
      </c>
      <c r="E7" s="58"/>
      <c r="F7" s="10">
        <f t="shared" si="0"/>
        <v>5</v>
      </c>
      <c r="G7" s="10">
        <f>IFERROR(IF(LEN(A7)=5,ROUNDDOWN((A7-(F7*10000))/1000,0),""),"")</f>
        <v>2</v>
      </c>
      <c r="H7" s="10">
        <f>IFERROR(IF(LEN(A7)=5,ROUNDDOWN((A7-(F7*10000+G7*1000))/100, 0),""), "")</f>
        <v>8</v>
      </c>
      <c r="I7" s="10">
        <f t="shared" si="3"/>
        <v>2.6666666666666665</v>
      </c>
      <c r="J7" s="10">
        <f>IFERROR(ROUNDDOWN((A7-(F7*10000+G7*1000+H7*100))/10, 0), "")</f>
        <v>6</v>
      </c>
      <c r="K7" s="10">
        <f>IFERROR(ROUNDDOWN((A7-(F7*10000+G7*1000+H7*100+J7*10))/1, 0), "")</f>
        <v>0</v>
      </c>
      <c r="L7" s="10">
        <f t="shared" si="6"/>
        <v>6</v>
      </c>
      <c r="M7" s="10">
        <f t="shared" si="7"/>
        <v>16</v>
      </c>
      <c r="N7" s="10">
        <f t="shared" si="8"/>
        <v>80</v>
      </c>
      <c r="O7" s="10" t="str">
        <f t="shared" si="9"/>
        <v>Back First</v>
      </c>
      <c r="P7" s="10"/>
      <c r="Q7" s="12"/>
      <c r="R7" s="10" t="str">
        <f t="shared" si="10"/>
        <v/>
      </c>
    </row>
    <row r="8" spans="1:18" x14ac:dyDescent="0.45">
      <c r="A8" s="70">
        <v>12868</v>
      </c>
      <c r="B8" s="58"/>
      <c r="C8" s="58" t="s">
        <v>78</v>
      </c>
      <c r="D8" s="58" t="s">
        <v>76</v>
      </c>
      <c r="E8" s="58"/>
      <c r="F8" s="10">
        <f t="shared" si="0"/>
        <v>1</v>
      </c>
      <c r="G8" s="10">
        <f>IFERROR(IF(LEN(A8)=5,ROUNDDOWN((A8-(F8*10000))/1000,0),""),"")</f>
        <v>2</v>
      </c>
      <c r="H8" s="10">
        <f>IFERROR(IF(LEN(A8)=5,ROUNDDOWN((A8-(F8*10000+G8*1000))/100, 0),""), "")</f>
        <v>8</v>
      </c>
      <c r="I8" s="10">
        <f t="shared" si="3"/>
        <v>2.6666666666666665</v>
      </c>
      <c r="J8" s="10">
        <f>IFERROR(ROUNDDOWN((A8-(F8*10000+G8*1000+H8*100))/10, 0), "")</f>
        <v>6</v>
      </c>
      <c r="K8" s="10">
        <f>IFERROR(ROUNDDOWN((A8-(F8*10000+G8*1000+H8*100+J8*10))/1, 0), "")</f>
        <v>8</v>
      </c>
      <c r="L8" s="10">
        <f t="shared" si="6"/>
        <v>6.666666666666667</v>
      </c>
      <c r="M8" s="10">
        <f t="shared" si="7"/>
        <v>17.777777777777779</v>
      </c>
      <c r="N8" s="10">
        <f t="shared" si="8"/>
        <v>17.777777777777779</v>
      </c>
      <c r="O8" s="10" t="str">
        <f t="shared" si="9"/>
        <v>Back First</v>
      </c>
      <c r="P8" s="10"/>
      <c r="Q8" s="10"/>
      <c r="R8" s="10" t="str">
        <f t="shared" si="10"/>
        <v/>
      </c>
    </row>
    <row r="9" spans="1:18" x14ac:dyDescent="0.45">
      <c r="A9" s="70"/>
      <c r="B9" s="58"/>
      <c r="C9" s="58"/>
      <c r="D9" s="58"/>
      <c r="E9" s="58"/>
      <c r="F9" s="10" t="str">
        <f t="shared" si="0"/>
        <v/>
      </c>
      <c r="G9" s="10" t="str">
        <f t="shared" si="1"/>
        <v/>
      </c>
      <c r="H9" s="10" t="str">
        <f t="shared" si="2"/>
        <v/>
      </c>
      <c r="I9" s="10" t="str">
        <f t="shared" si="3"/>
        <v/>
      </c>
      <c r="J9" s="10" t="str">
        <f t="shared" si="4"/>
        <v/>
      </c>
      <c r="K9" s="10" t="str">
        <f t="shared" si="5"/>
        <v/>
      </c>
      <c r="L9" s="10" t="str">
        <f t="shared" si="6"/>
        <v/>
      </c>
      <c r="M9" s="10" t="str">
        <f t="shared" si="7"/>
        <v/>
      </c>
      <c r="N9" s="10" t="str">
        <f t="shared" si="8"/>
        <v/>
      </c>
      <c r="O9" s="10" t="str">
        <f t="shared" si="9"/>
        <v xml:space="preserve"> </v>
      </c>
      <c r="P9" s="10"/>
      <c r="Q9" s="12"/>
      <c r="R9" s="10" t="str">
        <f t="shared" si="10"/>
        <v/>
      </c>
    </row>
    <row r="10" spans="1:18" x14ac:dyDescent="0.45">
      <c r="A10" s="70">
        <v>22850</v>
      </c>
      <c r="B10" s="58"/>
      <c r="C10" s="58" t="s">
        <v>3</v>
      </c>
      <c r="D10" s="58" t="s">
        <v>77</v>
      </c>
      <c r="E10" s="58"/>
      <c r="F10" s="10">
        <f t="shared" si="0"/>
        <v>2</v>
      </c>
      <c r="G10" s="10">
        <f t="shared" si="1"/>
        <v>2</v>
      </c>
      <c r="H10" s="10">
        <f t="shared" si="2"/>
        <v>8</v>
      </c>
      <c r="I10" s="10">
        <f t="shared" si="3"/>
        <v>2.6666666666666665</v>
      </c>
      <c r="J10" s="10">
        <f t="shared" si="4"/>
        <v>5</v>
      </c>
      <c r="K10" s="10">
        <f t="shared" si="5"/>
        <v>0</v>
      </c>
      <c r="L10" s="10">
        <f t="shared" si="6"/>
        <v>5</v>
      </c>
      <c r="M10" s="10">
        <f t="shared" si="7"/>
        <v>13.333333333333332</v>
      </c>
      <c r="N10" s="10">
        <f t="shared" si="8"/>
        <v>26.666666666666664</v>
      </c>
      <c r="O10" s="10" t="str">
        <f t="shared" si="9"/>
        <v>Left Second</v>
      </c>
      <c r="P10" s="10"/>
      <c r="Q10" s="10"/>
      <c r="R10" s="10" t="str">
        <f t="shared" si="10"/>
        <v/>
      </c>
    </row>
    <row r="11" spans="1:18" x14ac:dyDescent="0.45">
      <c r="A11" s="70">
        <v>22850</v>
      </c>
      <c r="B11" s="58"/>
      <c r="C11" s="58" t="s">
        <v>4</v>
      </c>
      <c r="D11" s="58" t="s">
        <v>77</v>
      </c>
      <c r="E11" s="58"/>
      <c r="F11" s="10">
        <f t="shared" si="0"/>
        <v>2</v>
      </c>
      <c r="G11" s="10">
        <f t="shared" si="1"/>
        <v>2</v>
      </c>
      <c r="H11" s="10">
        <f t="shared" si="2"/>
        <v>8</v>
      </c>
      <c r="I11" s="10">
        <f t="shared" si="3"/>
        <v>2.6666666666666665</v>
      </c>
      <c r="J11" s="10">
        <f t="shared" si="4"/>
        <v>5</v>
      </c>
      <c r="K11" s="10">
        <f t="shared" si="5"/>
        <v>0</v>
      </c>
      <c r="L11" s="10">
        <f t="shared" si="6"/>
        <v>5</v>
      </c>
      <c r="M11" s="10">
        <f t="shared" si="7"/>
        <v>13.333333333333332</v>
      </c>
      <c r="N11" s="10">
        <f t="shared" si="8"/>
        <v>26.666666666666664</v>
      </c>
      <c r="O11" s="10" t="str">
        <f t="shared" si="9"/>
        <v>Right Second</v>
      </c>
      <c r="P11" s="10"/>
      <c r="Q11" s="12"/>
      <c r="R11" s="10" t="str">
        <f t="shared" si="10"/>
        <v/>
      </c>
    </row>
    <row r="12" spans="1:18" x14ac:dyDescent="0.45">
      <c r="A12" s="70"/>
      <c r="B12" s="58"/>
      <c r="C12" s="58"/>
      <c r="D12" s="58"/>
      <c r="E12" s="58"/>
      <c r="F12" s="10" t="str">
        <f t="shared" si="0"/>
        <v/>
      </c>
      <c r="G12" s="10" t="str">
        <f t="shared" si="1"/>
        <v/>
      </c>
      <c r="H12" s="10" t="str">
        <f t="shared" si="2"/>
        <v/>
      </c>
      <c r="I12" s="10" t="str">
        <f t="shared" si="3"/>
        <v/>
      </c>
      <c r="J12" s="10" t="str">
        <f t="shared" si="4"/>
        <v/>
      </c>
      <c r="K12" s="10" t="str">
        <f t="shared" si="5"/>
        <v/>
      </c>
      <c r="L12" s="10" t="str">
        <f t="shared" si="6"/>
        <v/>
      </c>
      <c r="M12" s="10" t="str">
        <f t="shared" si="7"/>
        <v/>
      </c>
      <c r="N12" s="10" t="str">
        <f t="shared" si="8"/>
        <v/>
      </c>
      <c r="O12" s="10" t="str">
        <f t="shared" si="9"/>
        <v xml:space="preserve"> </v>
      </c>
      <c r="P12" s="10"/>
      <c r="Q12" s="10"/>
      <c r="R12" s="10" t="str">
        <f t="shared" si="10"/>
        <v/>
      </c>
    </row>
    <row r="13" spans="1:18" x14ac:dyDescent="0.45">
      <c r="A13" s="70"/>
      <c r="B13" s="58"/>
      <c r="C13" s="58"/>
      <c r="D13" s="58"/>
      <c r="E13" s="58"/>
      <c r="F13" s="10" t="str">
        <f t="shared" si="0"/>
        <v/>
      </c>
      <c r="G13" s="10" t="str">
        <f t="shared" si="1"/>
        <v/>
      </c>
      <c r="H13" s="10" t="str">
        <f t="shared" si="2"/>
        <v/>
      </c>
      <c r="I13" s="10" t="str">
        <f t="shared" si="3"/>
        <v/>
      </c>
      <c r="J13" s="10" t="str">
        <f t="shared" si="4"/>
        <v/>
      </c>
      <c r="K13" s="10" t="str">
        <f t="shared" si="5"/>
        <v/>
      </c>
      <c r="L13" s="10" t="str">
        <f t="shared" si="6"/>
        <v/>
      </c>
      <c r="M13" s="10" t="str">
        <f t="shared" si="7"/>
        <v/>
      </c>
      <c r="N13" s="10" t="str">
        <f t="shared" si="8"/>
        <v/>
      </c>
      <c r="O13" s="10" t="str">
        <f t="shared" si="9"/>
        <v xml:space="preserve"> </v>
      </c>
      <c r="P13" s="10"/>
      <c r="Q13" s="12"/>
      <c r="R13" s="10" t="str">
        <f t="shared" si="10"/>
        <v/>
      </c>
    </row>
    <row r="14" spans="1:18" x14ac:dyDescent="0.45">
      <c r="A14" s="70"/>
      <c r="B14" s="58"/>
      <c r="C14" s="58"/>
      <c r="D14" s="58"/>
      <c r="E14" s="58"/>
      <c r="F14" s="10" t="str">
        <f t="shared" si="0"/>
        <v/>
      </c>
      <c r="G14" s="10" t="str">
        <f t="shared" si="1"/>
        <v/>
      </c>
      <c r="H14" s="10" t="str">
        <f t="shared" si="2"/>
        <v/>
      </c>
      <c r="I14" s="10" t="str">
        <f t="shared" si="3"/>
        <v/>
      </c>
      <c r="J14" s="10" t="str">
        <f t="shared" si="4"/>
        <v/>
      </c>
      <c r="K14" s="10" t="str">
        <f t="shared" si="5"/>
        <v/>
      </c>
      <c r="L14" s="10" t="str">
        <f t="shared" si="6"/>
        <v/>
      </c>
      <c r="M14" s="10" t="str">
        <f t="shared" si="7"/>
        <v/>
      </c>
      <c r="N14" s="10" t="str">
        <f t="shared" si="8"/>
        <v/>
      </c>
      <c r="O14" s="10" t="str">
        <f t="shared" si="9"/>
        <v xml:space="preserve"> </v>
      </c>
      <c r="P14" s="10"/>
      <c r="Q14" s="12"/>
      <c r="R14" s="10" t="str">
        <f t="shared" si="10"/>
        <v/>
      </c>
    </row>
    <row r="15" spans="1:18" x14ac:dyDescent="0.45">
      <c r="A15" s="70"/>
      <c r="B15" s="58"/>
      <c r="C15" s="58"/>
      <c r="D15" s="58"/>
      <c r="E15" s="58"/>
      <c r="F15" s="10" t="str">
        <f t="shared" si="0"/>
        <v/>
      </c>
      <c r="G15" s="10" t="str">
        <f t="shared" si="1"/>
        <v/>
      </c>
      <c r="H15" s="10" t="str">
        <f t="shared" si="2"/>
        <v/>
      </c>
      <c r="I15" s="10" t="str">
        <f t="shared" si="3"/>
        <v/>
      </c>
      <c r="J15" s="10" t="str">
        <f t="shared" si="4"/>
        <v/>
      </c>
      <c r="K15" s="10" t="str">
        <f t="shared" si="5"/>
        <v/>
      </c>
      <c r="L15" s="10" t="str">
        <f t="shared" si="6"/>
        <v/>
      </c>
      <c r="M15" s="10" t="str">
        <f t="shared" si="7"/>
        <v/>
      </c>
      <c r="N15" s="10" t="str">
        <f t="shared" si="8"/>
        <v/>
      </c>
      <c r="O15" s="10" t="str">
        <f t="shared" si="9"/>
        <v xml:space="preserve"> </v>
      </c>
      <c r="P15" s="10"/>
      <c r="Q15" s="12"/>
      <c r="R15" s="10" t="str">
        <f t="shared" si="10"/>
        <v/>
      </c>
    </row>
    <row r="16" spans="1:18" x14ac:dyDescent="0.45">
      <c r="A16" s="70"/>
      <c r="B16" s="58"/>
      <c r="C16" s="58"/>
      <c r="D16" s="58"/>
      <c r="E16" s="58"/>
      <c r="F16" s="10" t="str">
        <f t="shared" si="0"/>
        <v/>
      </c>
      <c r="G16" s="10" t="str">
        <f t="shared" si="1"/>
        <v/>
      </c>
      <c r="H16" s="10" t="str">
        <f t="shared" si="2"/>
        <v/>
      </c>
      <c r="I16" s="10" t="str">
        <f t="shared" si="3"/>
        <v/>
      </c>
      <c r="J16" s="10" t="str">
        <f t="shared" si="4"/>
        <v/>
      </c>
      <c r="K16" s="10" t="str">
        <f t="shared" si="5"/>
        <v/>
      </c>
      <c r="L16" s="10" t="str">
        <f t="shared" si="6"/>
        <v/>
      </c>
      <c r="M16" s="10" t="str">
        <f t="shared" si="7"/>
        <v/>
      </c>
      <c r="N16" s="10" t="str">
        <f t="shared" si="8"/>
        <v/>
      </c>
      <c r="O16" s="10" t="str">
        <f t="shared" si="9"/>
        <v xml:space="preserve"> </v>
      </c>
      <c r="P16" s="10"/>
      <c r="Q16" s="10"/>
      <c r="R16" s="10" t="str">
        <f t="shared" si="10"/>
        <v/>
      </c>
    </row>
    <row r="17" spans="1:18" x14ac:dyDescent="0.45">
      <c r="A17" s="70"/>
      <c r="B17" s="58"/>
      <c r="C17" s="58"/>
      <c r="D17" s="58"/>
      <c r="E17" s="58"/>
      <c r="F17" s="10" t="str">
        <f t="shared" si="0"/>
        <v/>
      </c>
      <c r="G17" s="10" t="str">
        <f t="shared" si="1"/>
        <v/>
      </c>
      <c r="H17" s="10" t="str">
        <f t="shared" si="2"/>
        <v/>
      </c>
      <c r="I17" s="10" t="str">
        <f t="shared" si="3"/>
        <v/>
      </c>
      <c r="J17" s="10" t="str">
        <f t="shared" si="4"/>
        <v/>
      </c>
      <c r="K17" s="10" t="str">
        <f t="shared" si="5"/>
        <v/>
      </c>
      <c r="L17" s="10" t="str">
        <f t="shared" si="6"/>
        <v/>
      </c>
      <c r="M17" s="10" t="str">
        <f t="shared" si="7"/>
        <v/>
      </c>
      <c r="N17" s="10" t="str">
        <f t="shared" si="8"/>
        <v/>
      </c>
      <c r="O17" s="10" t="str">
        <f t="shared" si="9"/>
        <v xml:space="preserve"> </v>
      </c>
      <c r="P17" s="10"/>
      <c r="Q17" s="10"/>
      <c r="R17" s="10" t="str">
        <f t="shared" si="10"/>
        <v/>
      </c>
    </row>
    <row r="18" spans="1:18" x14ac:dyDescent="0.45">
      <c r="A18" s="70"/>
      <c r="B18" s="58"/>
      <c r="C18" s="58"/>
      <c r="D18" s="58"/>
      <c r="E18" s="58"/>
      <c r="F18" s="10" t="str">
        <f t="shared" si="0"/>
        <v/>
      </c>
      <c r="G18" s="10" t="str">
        <f t="shared" si="1"/>
        <v/>
      </c>
      <c r="H18" s="10" t="str">
        <f t="shared" si="2"/>
        <v/>
      </c>
      <c r="I18" s="10" t="str">
        <f t="shared" si="3"/>
        <v/>
      </c>
      <c r="J18" s="10" t="str">
        <f t="shared" si="4"/>
        <v/>
      </c>
      <c r="K18" s="10" t="str">
        <f t="shared" si="5"/>
        <v/>
      </c>
      <c r="L18" s="10" t="str">
        <f t="shared" si="6"/>
        <v/>
      </c>
      <c r="M18" s="10" t="str">
        <f t="shared" si="7"/>
        <v/>
      </c>
      <c r="N18" s="10" t="str">
        <f t="shared" si="8"/>
        <v/>
      </c>
      <c r="O18" s="10" t="str">
        <f t="shared" si="9"/>
        <v xml:space="preserve"> </v>
      </c>
      <c r="P18" s="10"/>
      <c r="Q18" s="12"/>
      <c r="R18" s="10" t="str">
        <f t="shared" si="10"/>
        <v/>
      </c>
    </row>
    <row r="19" spans="1:18" x14ac:dyDescent="0.45">
      <c r="A19" s="70"/>
      <c r="B19" s="58"/>
      <c r="C19" s="58"/>
      <c r="D19" s="58"/>
      <c r="E19" s="58"/>
      <c r="F19" s="10" t="str">
        <f t="shared" si="0"/>
        <v/>
      </c>
      <c r="G19" s="10" t="str">
        <f t="shared" si="1"/>
        <v/>
      </c>
      <c r="H19" s="10" t="str">
        <f t="shared" si="2"/>
        <v/>
      </c>
      <c r="I19" s="10" t="str">
        <f t="shared" si="3"/>
        <v/>
      </c>
      <c r="J19" s="10" t="str">
        <f t="shared" si="4"/>
        <v/>
      </c>
      <c r="K19" s="10" t="str">
        <f t="shared" si="5"/>
        <v/>
      </c>
      <c r="L19" s="10" t="str">
        <f t="shared" si="6"/>
        <v/>
      </c>
      <c r="M19" s="10" t="str">
        <f t="shared" si="7"/>
        <v/>
      </c>
      <c r="N19" s="10" t="str">
        <f t="shared" si="8"/>
        <v/>
      </c>
      <c r="O19" s="10" t="str">
        <f t="shared" si="9"/>
        <v xml:space="preserve"> </v>
      </c>
      <c r="P19" s="10"/>
      <c r="Q19" s="10"/>
      <c r="R19" s="10" t="str">
        <f t="shared" si="10"/>
        <v/>
      </c>
    </row>
    <row r="20" spans="1:18" x14ac:dyDescent="0.45">
      <c r="A20" s="70"/>
      <c r="B20" s="58"/>
      <c r="C20" s="58"/>
      <c r="D20" s="58"/>
      <c r="E20" s="58"/>
      <c r="F20" s="10" t="str">
        <f t="shared" si="0"/>
        <v/>
      </c>
      <c r="G20" s="10" t="str">
        <f t="shared" si="1"/>
        <v/>
      </c>
      <c r="H20" s="10" t="str">
        <f t="shared" si="2"/>
        <v/>
      </c>
      <c r="I20" s="10" t="str">
        <f t="shared" si="3"/>
        <v/>
      </c>
      <c r="J20" s="10" t="str">
        <f t="shared" si="4"/>
        <v/>
      </c>
      <c r="K20" s="10" t="str">
        <f t="shared" si="5"/>
        <v/>
      </c>
      <c r="L20" s="10" t="str">
        <f t="shared" si="6"/>
        <v/>
      </c>
      <c r="M20" s="10" t="str">
        <f t="shared" si="7"/>
        <v/>
      </c>
      <c r="N20" s="10" t="str">
        <f t="shared" si="8"/>
        <v/>
      </c>
      <c r="O20" s="10" t="str">
        <f t="shared" si="9"/>
        <v xml:space="preserve"> </v>
      </c>
      <c r="P20" s="10"/>
      <c r="Q20" s="10"/>
      <c r="R20" s="10" t="str">
        <f t="shared" si="10"/>
        <v/>
      </c>
    </row>
    <row r="21" spans="1:18" x14ac:dyDescent="0.45">
      <c r="A21" s="70"/>
      <c r="B21" s="58"/>
      <c r="C21" s="58"/>
      <c r="D21" s="58"/>
      <c r="E21" s="58"/>
      <c r="F21" s="10" t="str">
        <f t="shared" si="0"/>
        <v/>
      </c>
      <c r="G21" s="10" t="str">
        <f t="shared" si="1"/>
        <v/>
      </c>
      <c r="H21" s="10" t="str">
        <f t="shared" si="2"/>
        <v/>
      </c>
      <c r="I21" s="10" t="str">
        <f t="shared" si="3"/>
        <v/>
      </c>
      <c r="J21" s="10" t="str">
        <f t="shared" si="4"/>
        <v/>
      </c>
      <c r="K21" s="10" t="str">
        <f t="shared" si="5"/>
        <v/>
      </c>
      <c r="L21" s="10" t="str">
        <f t="shared" si="6"/>
        <v/>
      </c>
      <c r="M21" s="10" t="str">
        <f t="shared" si="7"/>
        <v/>
      </c>
      <c r="N21" s="10" t="str">
        <f t="shared" si="8"/>
        <v/>
      </c>
      <c r="O21" s="10" t="str">
        <f t="shared" si="9"/>
        <v xml:space="preserve"> </v>
      </c>
      <c r="P21" s="10"/>
      <c r="Q21" s="10"/>
      <c r="R21" s="10" t="str">
        <f t="shared" si="10"/>
        <v/>
      </c>
    </row>
    <row r="22" spans="1:18" x14ac:dyDescent="0.45">
      <c r="A22" s="70"/>
      <c r="B22" s="58"/>
      <c r="C22" s="58"/>
      <c r="D22" s="58"/>
      <c r="E22" s="58"/>
      <c r="F22" s="10" t="str">
        <f t="shared" si="0"/>
        <v/>
      </c>
      <c r="G22" s="10" t="str">
        <f t="shared" si="1"/>
        <v/>
      </c>
      <c r="H22" s="10" t="str">
        <f t="shared" si="2"/>
        <v/>
      </c>
      <c r="I22" s="10" t="str">
        <f t="shared" si="3"/>
        <v/>
      </c>
      <c r="J22" s="10" t="str">
        <f t="shared" si="4"/>
        <v/>
      </c>
      <c r="K22" s="10" t="str">
        <f t="shared" si="5"/>
        <v/>
      </c>
      <c r="L22" s="10" t="str">
        <f t="shared" si="6"/>
        <v/>
      </c>
      <c r="M22" s="10" t="str">
        <f t="shared" si="7"/>
        <v/>
      </c>
      <c r="N22" s="10" t="str">
        <f t="shared" si="8"/>
        <v/>
      </c>
      <c r="O22" s="10" t="str">
        <f t="shared" si="9"/>
        <v xml:space="preserve"> </v>
      </c>
      <c r="P22" s="10"/>
      <c r="Q22" s="10"/>
      <c r="R22" s="10" t="str">
        <f t="shared" si="10"/>
        <v/>
      </c>
    </row>
    <row r="23" spans="1:18" x14ac:dyDescent="0.45">
      <c r="A23" s="70"/>
      <c r="B23" s="58"/>
      <c r="C23" s="58"/>
      <c r="D23" s="58"/>
      <c r="E23" s="58"/>
      <c r="F23" s="10" t="str">
        <f t="shared" si="0"/>
        <v/>
      </c>
      <c r="G23" s="10" t="str">
        <f t="shared" si="1"/>
        <v/>
      </c>
      <c r="H23" s="10" t="str">
        <f t="shared" si="2"/>
        <v/>
      </c>
      <c r="I23" s="10" t="str">
        <f t="shared" si="3"/>
        <v/>
      </c>
      <c r="J23" s="10" t="str">
        <f t="shared" si="4"/>
        <v/>
      </c>
      <c r="K23" s="10" t="str">
        <f t="shared" si="5"/>
        <v/>
      </c>
      <c r="L23" s="10" t="str">
        <f t="shared" si="6"/>
        <v/>
      </c>
      <c r="M23" s="10" t="str">
        <f t="shared" si="7"/>
        <v/>
      </c>
      <c r="N23" s="10" t="str">
        <f t="shared" si="8"/>
        <v/>
      </c>
      <c r="O23" s="10" t="str">
        <f t="shared" si="9"/>
        <v xml:space="preserve"> </v>
      </c>
      <c r="P23" s="10"/>
      <c r="Q23" s="10"/>
      <c r="R23" s="10" t="str">
        <f t="shared" si="10"/>
        <v/>
      </c>
    </row>
    <row r="24" spans="1:18" x14ac:dyDescent="0.45">
      <c r="A24" s="70"/>
      <c r="B24" s="58"/>
      <c r="C24" s="58"/>
      <c r="D24" s="58"/>
      <c r="E24" s="58"/>
      <c r="F24" s="10" t="str">
        <f t="shared" si="0"/>
        <v/>
      </c>
      <c r="G24" s="10" t="str">
        <f t="shared" si="1"/>
        <v/>
      </c>
      <c r="H24" s="10" t="str">
        <f t="shared" si="2"/>
        <v/>
      </c>
      <c r="I24" s="10" t="str">
        <f t="shared" si="3"/>
        <v/>
      </c>
      <c r="J24" s="10" t="str">
        <f t="shared" si="4"/>
        <v/>
      </c>
      <c r="K24" s="10" t="str">
        <f t="shared" si="5"/>
        <v/>
      </c>
      <c r="L24" s="10" t="str">
        <f t="shared" si="6"/>
        <v/>
      </c>
      <c r="M24" s="10" t="str">
        <f t="shared" si="7"/>
        <v/>
      </c>
      <c r="N24" s="10" t="str">
        <f t="shared" si="8"/>
        <v/>
      </c>
      <c r="O24" s="10" t="str">
        <f t="shared" si="9"/>
        <v xml:space="preserve"> </v>
      </c>
      <c r="P24" s="10"/>
      <c r="Q24" s="10"/>
      <c r="R24" s="10" t="str">
        <f t="shared" si="10"/>
        <v/>
      </c>
    </row>
    <row r="25" spans="1:18" x14ac:dyDescent="0.45">
      <c r="A25" s="70"/>
      <c r="B25" s="58"/>
      <c r="C25" s="58"/>
      <c r="D25" s="58"/>
      <c r="E25" s="58"/>
      <c r="F25" s="10" t="str">
        <f t="shared" si="0"/>
        <v/>
      </c>
      <c r="G25" s="10" t="str">
        <f t="shared" si="1"/>
        <v/>
      </c>
      <c r="H25" s="10" t="str">
        <f t="shared" si="2"/>
        <v/>
      </c>
      <c r="I25" s="10" t="str">
        <f t="shared" si="3"/>
        <v/>
      </c>
      <c r="J25" s="10" t="str">
        <f t="shared" si="4"/>
        <v/>
      </c>
      <c r="K25" s="10" t="str">
        <f t="shared" si="5"/>
        <v/>
      </c>
      <c r="L25" s="10" t="str">
        <f t="shared" si="6"/>
        <v/>
      </c>
      <c r="M25" s="10" t="str">
        <f t="shared" si="7"/>
        <v/>
      </c>
      <c r="N25" s="10" t="str">
        <f t="shared" si="8"/>
        <v/>
      </c>
      <c r="O25" s="10" t="str">
        <f t="shared" si="9"/>
        <v xml:space="preserve"> </v>
      </c>
      <c r="P25" s="10"/>
      <c r="Q25" s="10"/>
      <c r="R25" s="10" t="str">
        <f t="shared" si="10"/>
        <v/>
      </c>
    </row>
    <row r="26" spans="1:18" x14ac:dyDescent="0.45">
      <c r="A26" s="70"/>
      <c r="B26" s="58"/>
      <c r="C26" s="58"/>
      <c r="D26" s="58"/>
      <c r="E26" s="58"/>
      <c r="F26" s="10" t="str">
        <f t="shared" si="0"/>
        <v/>
      </c>
      <c r="G26" s="10" t="str">
        <f t="shared" si="1"/>
        <v/>
      </c>
      <c r="H26" s="10" t="str">
        <f t="shared" si="2"/>
        <v/>
      </c>
      <c r="I26" s="10" t="str">
        <f t="shared" si="3"/>
        <v/>
      </c>
      <c r="J26" s="10" t="str">
        <f t="shared" si="4"/>
        <v/>
      </c>
      <c r="K26" s="10" t="str">
        <f t="shared" si="5"/>
        <v/>
      </c>
      <c r="L26" s="10" t="str">
        <f t="shared" si="6"/>
        <v/>
      </c>
      <c r="M26" s="10" t="str">
        <f t="shared" si="7"/>
        <v/>
      </c>
      <c r="N26" s="10" t="str">
        <f t="shared" si="8"/>
        <v/>
      </c>
      <c r="O26" s="10" t="str">
        <f t="shared" si="9"/>
        <v xml:space="preserve"> </v>
      </c>
      <c r="P26" s="10"/>
      <c r="R26" s="10" t="str">
        <f t="shared" si="10"/>
        <v/>
      </c>
    </row>
    <row r="27" spans="1:18" x14ac:dyDescent="0.45">
      <c r="A27" s="70"/>
      <c r="B27" s="58"/>
      <c r="C27" s="58"/>
      <c r="D27" s="58"/>
      <c r="E27" s="58"/>
      <c r="F27" s="10" t="str">
        <f t="shared" si="0"/>
        <v/>
      </c>
      <c r="G27" s="10" t="str">
        <f t="shared" si="1"/>
        <v/>
      </c>
      <c r="H27" s="10" t="str">
        <f t="shared" si="2"/>
        <v/>
      </c>
      <c r="I27" s="10" t="str">
        <f t="shared" si="3"/>
        <v/>
      </c>
      <c r="J27" s="10" t="str">
        <f t="shared" si="4"/>
        <v/>
      </c>
      <c r="K27" s="10" t="str">
        <f t="shared" si="5"/>
        <v/>
      </c>
      <c r="L27" s="10" t="str">
        <f t="shared" si="6"/>
        <v/>
      </c>
      <c r="M27" s="10" t="str">
        <f t="shared" si="7"/>
        <v/>
      </c>
      <c r="N27" s="10" t="str">
        <f t="shared" si="8"/>
        <v/>
      </c>
      <c r="O27" s="10" t="str">
        <f t="shared" si="9"/>
        <v xml:space="preserve"> </v>
      </c>
      <c r="P27" s="10"/>
      <c r="R27" s="10" t="str">
        <f t="shared" si="10"/>
        <v/>
      </c>
    </row>
    <row r="28" spans="1:18" x14ac:dyDescent="0.45">
      <c r="A28" s="70"/>
      <c r="B28" s="58"/>
      <c r="C28" s="58"/>
      <c r="D28" s="58"/>
      <c r="E28" s="58"/>
      <c r="F28" s="10" t="str">
        <f t="shared" si="0"/>
        <v/>
      </c>
      <c r="G28" s="10" t="str">
        <f t="shared" si="1"/>
        <v/>
      </c>
      <c r="H28" s="10" t="str">
        <f t="shared" si="2"/>
        <v/>
      </c>
      <c r="I28" s="10" t="str">
        <f t="shared" si="3"/>
        <v/>
      </c>
      <c r="J28" s="10" t="str">
        <f t="shared" si="4"/>
        <v/>
      </c>
      <c r="K28" s="10" t="str">
        <f t="shared" si="5"/>
        <v/>
      </c>
      <c r="L28" s="10" t="str">
        <f t="shared" si="6"/>
        <v/>
      </c>
      <c r="M28" s="10" t="str">
        <f t="shared" si="7"/>
        <v/>
      </c>
      <c r="N28" s="10" t="str">
        <f t="shared" si="8"/>
        <v/>
      </c>
      <c r="O28" s="10" t="str">
        <f t="shared" si="9"/>
        <v xml:space="preserve"> </v>
      </c>
      <c r="P28" s="10"/>
      <c r="R28" s="10" t="str">
        <f t="shared" si="10"/>
        <v/>
      </c>
    </row>
    <row r="29" spans="1:18" x14ac:dyDescent="0.45">
      <c r="A29" s="70"/>
      <c r="B29" s="58"/>
      <c r="C29" s="58"/>
      <c r="D29" s="58"/>
      <c r="E29" s="58"/>
      <c r="F29" s="10" t="str">
        <f t="shared" si="0"/>
        <v/>
      </c>
      <c r="G29" s="10" t="str">
        <f t="shared" si="1"/>
        <v/>
      </c>
      <c r="H29" s="10" t="str">
        <f t="shared" si="2"/>
        <v/>
      </c>
      <c r="I29" s="10" t="str">
        <f t="shared" si="3"/>
        <v/>
      </c>
      <c r="J29" s="10" t="str">
        <f t="shared" si="4"/>
        <v/>
      </c>
      <c r="K29" s="10" t="str">
        <f t="shared" si="5"/>
        <v/>
      </c>
      <c r="L29" s="10" t="str">
        <f t="shared" si="6"/>
        <v/>
      </c>
      <c r="M29" s="10" t="str">
        <f t="shared" si="7"/>
        <v/>
      </c>
      <c r="N29" s="10" t="str">
        <f t="shared" si="8"/>
        <v/>
      </c>
      <c r="O29" s="10" t="str">
        <f t="shared" si="9"/>
        <v xml:space="preserve"> </v>
      </c>
      <c r="P29" s="10"/>
      <c r="R29" s="10" t="str">
        <f t="shared" si="10"/>
        <v/>
      </c>
    </row>
    <row r="30" spans="1:18" x14ac:dyDescent="0.45">
      <c r="A30" s="70"/>
      <c r="B30" s="58"/>
      <c r="C30" s="58"/>
      <c r="D30" s="58"/>
      <c r="E30" s="58"/>
      <c r="F30" s="10" t="str">
        <f t="shared" si="0"/>
        <v/>
      </c>
      <c r="G30" s="10" t="str">
        <f t="shared" si="1"/>
        <v/>
      </c>
      <c r="H30" s="10" t="str">
        <f t="shared" si="2"/>
        <v/>
      </c>
      <c r="I30" s="10" t="str">
        <f t="shared" si="3"/>
        <v/>
      </c>
      <c r="J30" s="10" t="str">
        <f t="shared" si="4"/>
        <v/>
      </c>
      <c r="K30" s="10" t="str">
        <f t="shared" si="5"/>
        <v/>
      </c>
      <c r="L30" s="10" t="str">
        <f t="shared" si="6"/>
        <v/>
      </c>
      <c r="M30" s="10" t="str">
        <f t="shared" si="7"/>
        <v/>
      </c>
      <c r="N30" s="10" t="str">
        <f t="shared" si="8"/>
        <v/>
      </c>
      <c r="O30" s="10" t="str">
        <f t="shared" si="9"/>
        <v xml:space="preserve"> </v>
      </c>
      <c r="P30" s="10"/>
      <c r="R30" s="10" t="str">
        <f t="shared" si="10"/>
        <v/>
      </c>
    </row>
    <row r="31" spans="1:18" x14ac:dyDescent="0.45">
      <c r="A31" s="70"/>
      <c r="B31" s="58"/>
      <c r="C31" s="58"/>
      <c r="D31" s="58"/>
      <c r="E31" s="58"/>
      <c r="F31" s="10" t="str">
        <f t="shared" si="0"/>
        <v/>
      </c>
      <c r="G31" s="10" t="str">
        <f t="shared" si="1"/>
        <v/>
      </c>
      <c r="H31" s="10" t="str">
        <f t="shared" si="2"/>
        <v/>
      </c>
      <c r="I31" s="10" t="str">
        <f t="shared" si="3"/>
        <v/>
      </c>
      <c r="J31" s="10" t="str">
        <f t="shared" si="4"/>
        <v/>
      </c>
      <c r="K31" s="10" t="str">
        <f t="shared" si="5"/>
        <v/>
      </c>
      <c r="L31" s="10" t="str">
        <f t="shared" si="6"/>
        <v/>
      </c>
      <c r="M31" s="10" t="str">
        <f t="shared" si="7"/>
        <v/>
      </c>
      <c r="N31" s="10" t="str">
        <f t="shared" si="8"/>
        <v/>
      </c>
      <c r="O31" s="10" t="str">
        <f t="shared" si="9"/>
        <v xml:space="preserve"> </v>
      </c>
      <c r="P31" s="10"/>
      <c r="R31" s="10" t="str">
        <f t="shared" si="10"/>
        <v/>
      </c>
    </row>
    <row r="32" spans="1:18" x14ac:dyDescent="0.45">
      <c r="A32" s="70"/>
      <c r="B32" s="58"/>
      <c r="C32" s="58"/>
      <c r="D32" s="58"/>
      <c r="E32" s="58"/>
      <c r="F32" s="10" t="str">
        <f>IF(B32="OPT","",IF(IF(LEN(A32)=5,ROUNDDOWN(A32/10000,0),ROUNDDOWN(A32/100000,0))=0,"",IF(LEN(A32)=5,ROUNDDOWN(A32/10000,0),ROUNDDOWN(A32/100000,0))))</f>
        <v/>
      </c>
      <c r="G32" s="10" t="str">
        <f>IFERROR(IF(LEN(A32)=5,ROUNDDOWN((A32-(F32*10000))/1000,0),""),"")</f>
        <v/>
      </c>
      <c r="H32" s="10" t="str">
        <f>IFERROR(IF(LEN(A32)=5,ROUNDDOWN((A32-(F32*10000+G32*1000))/100, 0),""), "")</f>
        <v/>
      </c>
      <c r="I32" s="10" t="str">
        <f>IFERROR(IF(G32+(H32/12)=0, "", G32+(H32/12)),"")</f>
        <v/>
      </c>
      <c r="J32" s="10" t="str">
        <f>IFERROR(ROUNDDOWN((A32-(F32*10000+G32*1000+H32*100))/10, 0), "")</f>
        <v/>
      </c>
      <c r="K32" s="10" t="str">
        <f>IFERROR(ROUNDDOWN((A32-(F32*10000+G32*1000+H32*100+J32*10))/1, 0), "")</f>
        <v/>
      </c>
      <c r="L32" s="10" t="str">
        <f>IFERROR(IF(J32+(K32/12)=0, "", J32+(K32/12)), "")</f>
        <v/>
      </c>
      <c r="M32" s="10" t="str">
        <f>IFERROR(IF(I32*L32=0,"",I32*L32), "")</f>
        <v/>
      </c>
      <c r="N32" s="10" t="str">
        <f>IFERROR(IF(F32*M32=0, "", F32*M32), "")</f>
        <v/>
      </c>
      <c r="O32" s="10" t="str">
        <f>C32&amp;" "&amp;D32</f>
        <v xml:space="preserve"> </v>
      </c>
      <c r="P32" s="10"/>
      <c r="R32" s="10" t="str">
        <f>IFERROR(IF(E32 = "","",E32&amp;", 1, "&amp;L32+1), "")</f>
        <v/>
      </c>
    </row>
    <row r="35" spans="1:4" ht="18" x14ac:dyDescent="0.55000000000000004">
      <c r="A35" s="79" t="s">
        <v>71</v>
      </c>
      <c r="B35" s="79"/>
      <c r="C35" s="79"/>
      <c r="D35" s="79"/>
    </row>
    <row r="36" spans="1:4" x14ac:dyDescent="0.45">
      <c r="A36" s="58" t="s">
        <v>132</v>
      </c>
      <c r="B36" s="58"/>
      <c r="C36" s="58" t="s">
        <v>193</v>
      </c>
      <c r="D36" s="4"/>
    </row>
    <row r="37" spans="1:4" ht="28.5" x14ac:dyDescent="0.45">
      <c r="A37" s="4" t="s">
        <v>131</v>
      </c>
      <c r="B37" s="11" t="s">
        <v>130</v>
      </c>
      <c r="C37" s="67" t="s">
        <v>72</v>
      </c>
      <c r="D37" s="68" t="s">
        <v>205</v>
      </c>
    </row>
    <row r="38" spans="1:4" x14ac:dyDescent="0.45">
      <c r="A38" s="84" t="s">
        <v>133</v>
      </c>
      <c r="B38" s="10" t="s">
        <v>82</v>
      </c>
      <c r="C38" s="10">
        <f>SUMIF(MainWIndows[Name],B38,MainWIndows[count])</f>
        <v>2</v>
      </c>
      <c r="D38" s="24">
        <f>ROUND(SUMIF(MainWIndows[Name],B38,MainWIndows[total area]),2)</f>
        <v>23</v>
      </c>
    </row>
    <row r="39" spans="1:4" x14ac:dyDescent="0.45">
      <c r="A39" s="85"/>
      <c r="B39" s="10" t="s">
        <v>83</v>
      </c>
      <c r="C39" s="10">
        <f>SUMIF(MainWIndows[Name],B39,MainWIndows[count])</f>
        <v>2</v>
      </c>
      <c r="D39" s="24">
        <f>SUMIF(MainWIndows[Name],B39,MainWIndows[total area])</f>
        <v>32</v>
      </c>
    </row>
    <row r="40" spans="1:4" hidden="1" x14ac:dyDescent="0.45">
      <c r="A40" s="85"/>
      <c r="B40" s="10" t="s">
        <v>84</v>
      </c>
      <c r="C40" s="10">
        <f>SUMIF(MainWIndows[Name],B40,MainWIndows[count])</f>
        <v>0</v>
      </c>
      <c r="D40" s="10">
        <f>SUMIF(MainWIndows[Name],B40,MainWIndows[total area])</f>
        <v>0</v>
      </c>
    </row>
    <row r="41" spans="1:4" hidden="1" x14ac:dyDescent="0.45">
      <c r="A41" s="85"/>
      <c r="B41" s="10" t="s">
        <v>85</v>
      </c>
      <c r="C41" s="10">
        <f>SUMIF(MainWIndows[Name],B41,MainWIndows[count])</f>
        <v>0</v>
      </c>
      <c r="D41" s="10">
        <f>SUMIF(MainWIndows[Name],B41,MainWIndows[total area])</f>
        <v>0</v>
      </c>
    </row>
    <row r="42" spans="1:4" hidden="1" x14ac:dyDescent="0.45">
      <c r="A42" s="85"/>
      <c r="B42" s="10" t="s">
        <v>86</v>
      </c>
      <c r="C42" s="10">
        <f>SUMIF(MainWIndows[Name],B42,MainWIndows[count])</f>
        <v>0</v>
      </c>
      <c r="D42" s="10">
        <f>SUMIF(MainWIndows[Name],B42,MainWIndows[total area])</f>
        <v>0</v>
      </c>
    </row>
    <row r="43" spans="1:4" hidden="1" x14ac:dyDescent="0.45">
      <c r="A43" s="85"/>
      <c r="B43" s="10" t="s">
        <v>87</v>
      </c>
      <c r="C43" s="10">
        <f>SUMIF(MainWIndows[Name],B43,MainWIndows[count])</f>
        <v>0</v>
      </c>
      <c r="D43" s="10">
        <f>SUMIF(MainWIndows[Name],B43,MainWIndows[total area])</f>
        <v>0</v>
      </c>
    </row>
    <row r="44" spans="1:4" x14ac:dyDescent="0.45">
      <c r="A44" s="86"/>
      <c r="B44" s="72" t="s">
        <v>174</v>
      </c>
      <c r="C44" s="72">
        <f>SUM(C38:C43)</f>
        <v>4</v>
      </c>
      <c r="D44" s="73">
        <f t="shared" ref="D44" si="11">SUM(D38:D43)</f>
        <v>55</v>
      </c>
    </row>
    <row r="45" spans="1:4" hidden="1" x14ac:dyDescent="0.45">
      <c r="A45" s="83" t="str">
        <f>IF(C36="Yes",VLOOKUP($A$38,Reference!$D$2:$J$9,4,),VLOOKUP($A$38,Reference!$D$2:$J$9,2,))</f>
        <v>West</v>
      </c>
      <c r="B45" s="10" t="s">
        <v>88</v>
      </c>
      <c r="C45" s="10">
        <f>IF($C$36="Yes",SUMIF(MainWIndows[Name],B52,MainWIndows[count]),SUMIF(MainWIndows[Name],B45,MainWIndows[count]))</f>
        <v>0</v>
      </c>
      <c r="D45" s="10">
        <f>IF($C$36="Yes",SUMIF(MainWIndows[Name],B52,MainWIndows[total area]),SUMIF(MainWIndows[Name],B45,MainWIndows[total area]))</f>
        <v>0</v>
      </c>
    </row>
    <row r="46" spans="1:4" ht="14.25" customHeight="1" x14ac:dyDescent="0.45">
      <c r="A46" s="83"/>
      <c r="B46" s="10" t="s">
        <v>89</v>
      </c>
      <c r="C46" s="10">
        <f>IF($C$36="Yes",SUMIF(MainWIndows[Name],B53,MainWIndows[count]),SUMIF(MainWIndows[Name],B46,MainWIndows[count]))</f>
        <v>2</v>
      </c>
      <c r="D46" s="24">
        <f>IF($C$36="Yes",SUMIF(MainWIndows[Name],B53,MainWIndows[total area]),SUMIF(MainWIndows[Name],B46,MainWIndows[total area]))</f>
        <v>32</v>
      </c>
    </row>
    <row r="47" spans="1:4" x14ac:dyDescent="0.45">
      <c r="A47" s="83"/>
      <c r="B47" s="10" t="s">
        <v>90</v>
      </c>
      <c r="C47" s="10">
        <f>IF($C$36="Yes",SUMIF(MainWIndows[Name],B54,MainWIndows[count]),SUMIF(MainWIndows[Name],B47,MainWIndows[count]))</f>
        <v>2</v>
      </c>
      <c r="D47" s="24">
        <f>IF($C$36="Yes",SUMIF(MainWIndows[Name],B54,MainWIndows[total area]),SUMIF(MainWIndows[Name],B47,MainWIndows[total area]))</f>
        <v>26.666666666666664</v>
      </c>
    </row>
    <row r="48" spans="1:4" ht="14.25" hidden="1" customHeight="1" x14ac:dyDescent="0.45">
      <c r="A48" s="83"/>
      <c r="B48" s="10" t="s">
        <v>91</v>
      </c>
      <c r="C48" s="10">
        <f>IF($C$36="Yes",SUMIF(MainWIndows[Name],B55,MainWIndows[count]),SUMIF(MainWIndows[Name],B48,MainWIndows[count]))</f>
        <v>0</v>
      </c>
      <c r="D48" s="10">
        <f>IF($C$36="Yes",SUMIF(MainWIndows[Name],B55,MainWIndows[total area]),SUMIF(MainWIndows[Name],B48,MainWIndows[total area]))</f>
        <v>0</v>
      </c>
    </row>
    <row r="49" spans="1:4" ht="14.25" hidden="1" customHeight="1" x14ac:dyDescent="0.45">
      <c r="A49" s="83"/>
      <c r="B49" s="10" t="s">
        <v>92</v>
      </c>
      <c r="C49" s="10">
        <f>IF($C$36="Yes",SUMIF(MainWIndows[Name],B56,MainWIndows[count]),SUMIF(MainWIndows[Name],B49,MainWIndows[count]))</f>
        <v>0</v>
      </c>
      <c r="D49" s="10">
        <f>IF($C$36="Yes",SUMIF(MainWIndows[Name],B56,MainWIndows[total area]),SUMIF(MainWIndows[Name],B49,MainWIndows[total area]))</f>
        <v>0</v>
      </c>
    </row>
    <row r="50" spans="1:4" ht="14.25" hidden="1" customHeight="1" x14ac:dyDescent="0.45">
      <c r="A50" s="83"/>
      <c r="B50" s="10" t="s">
        <v>93</v>
      </c>
      <c r="C50" s="10">
        <f>IF($C$36="Yes",SUMIF(MainWIndows[Name],B57,MainWIndows[count]),SUMIF(MainWIndows[Name],B50,MainWIndows[count]))</f>
        <v>0</v>
      </c>
      <c r="D50" s="10">
        <f>IF($C$36="Yes",SUMIF(MainWIndows[Name],B57,MainWIndows[total area]),SUMIF(MainWIndows[Name],B50,MainWIndows[total area]))</f>
        <v>0</v>
      </c>
    </row>
    <row r="51" spans="1:4" ht="14.25" customHeight="1" x14ac:dyDescent="0.45">
      <c r="A51" s="83"/>
      <c r="B51" s="72" t="s">
        <v>181</v>
      </c>
      <c r="C51" s="72">
        <f>SUM(C45:C50)</f>
        <v>4</v>
      </c>
      <c r="D51" s="73">
        <f t="shared" ref="D51" si="12">SUM(D45:D50)</f>
        <v>58.666666666666664</v>
      </c>
    </row>
    <row r="52" spans="1:4" ht="14.25" hidden="1" customHeight="1" x14ac:dyDescent="0.45">
      <c r="A52" s="83" t="str">
        <f>IF(C36="Yes",VLOOKUP($A$38,Reference!$D$2:$J$9,2,),VLOOKUP($A$38,Reference!$D$2:$J$9,4,))</f>
        <v>East</v>
      </c>
      <c r="B52" s="10" t="s">
        <v>94</v>
      </c>
      <c r="C52" s="10">
        <f>IF($C$36="Yes",SUMIF(MainWIndows[Name],B45,MainWIndows[count]),SUMIF(MainWIndows[Name],B52,MainWIndows[count]))</f>
        <v>0</v>
      </c>
      <c r="D52" s="10">
        <f>IF($C$36="Yes",SUMIF(MainWIndows[Name],B45,MainWIndows[total area]),SUMIF(MainWIndows[Name],WindowSummary[[#This Row],[Name]],MainWIndows[total area]))</f>
        <v>0</v>
      </c>
    </row>
    <row r="53" spans="1:4" ht="14.25" hidden="1" customHeight="1" x14ac:dyDescent="0.45">
      <c r="A53" s="83"/>
      <c r="B53" s="10" t="s">
        <v>95</v>
      </c>
      <c r="C53" s="10">
        <f>IF($C$36="Yes",SUMIF(MainWIndows[Name],B46,MainWIndows[count]),SUMIF(MainWIndows[Name],B53,MainWIndows[count]))</f>
        <v>0</v>
      </c>
      <c r="D53" s="10">
        <f>IF($C$36="Yes",SUMIF(MainWIndows[Name],B46,MainWIndows[total area]),SUMIF(MainWIndows[Name],WindowSummary[[#This Row],[Name]],MainWIndows[total area]))</f>
        <v>0</v>
      </c>
    </row>
    <row r="54" spans="1:4" x14ac:dyDescent="0.45">
      <c r="A54" s="83"/>
      <c r="B54" s="10" t="s">
        <v>96</v>
      </c>
      <c r="C54" s="10">
        <f>IF($C$36="Yes",SUMIF(MainWIndows[Name],B47,MainWIndows[count]),SUMIF(MainWIndows[Name],B54,MainWIndows[count]))</f>
        <v>2</v>
      </c>
      <c r="D54" s="24">
        <f>IF($C$36="Yes",SUMIF(MainWIndows[Name],B47,MainWIndows[total area]),SUMIF(MainWIndows[Name],WindowSummary[[#This Row],[Name]],MainWIndows[total area]))</f>
        <v>26.666666666666664</v>
      </c>
    </row>
    <row r="55" spans="1:4" ht="14.25" hidden="1" customHeight="1" x14ac:dyDescent="0.45">
      <c r="A55" s="83"/>
      <c r="B55" s="10" t="s">
        <v>97</v>
      </c>
      <c r="C55" s="10">
        <f>IF($C$36="Yes",SUMIF(MainWIndows[Name],B48,MainWIndows[count]),SUMIF(MainWIndows[Name],B55,MainWIndows[count]))</f>
        <v>0</v>
      </c>
      <c r="D55" s="10">
        <f>IF($C$36="Yes",SUMIF(MainWIndows[Name],B48,MainWIndows[total area]),SUMIF(MainWIndows[Name],WindowSummary[[#This Row],[Name]],MainWIndows[total area]))</f>
        <v>0</v>
      </c>
    </row>
    <row r="56" spans="1:4" ht="14.25" hidden="1" customHeight="1" x14ac:dyDescent="0.45">
      <c r="A56" s="83"/>
      <c r="B56" s="10" t="s">
        <v>98</v>
      </c>
      <c r="C56" s="10">
        <f>IF($C$36="Yes",SUMIF(MainWIndows[Name],B49,MainWIndows[count]),SUMIF(MainWIndows[Name],B56,MainWIndows[count]))</f>
        <v>0</v>
      </c>
      <c r="D56" s="10">
        <f>IF($C$36="Yes",SUMIF(MainWIndows[Name],B49,MainWIndows[total area]),SUMIF(MainWIndows[Name],WindowSummary[[#This Row],[Name]],MainWIndows[total area]))</f>
        <v>0</v>
      </c>
    </row>
    <row r="57" spans="1:4" ht="14.25" hidden="1" customHeight="1" x14ac:dyDescent="0.45">
      <c r="A57" s="83"/>
      <c r="B57" s="10" t="s">
        <v>99</v>
      </c>
      <c r="C57" s="10">
        <f>IF($C$36="Yes",SUMIF(MainWIndows[Name],B50,MainWIndows[count]),SUMIF(MainWIndows[Name],B57,MainWIndows[count]))</f>
        <v>0</v>
      </c>
      <c r="D57" s="10">
        <f>IF($C$36="Yes",SUMIF(MainWIndows[Name],B50,MainWIndows[total area]),SUMIF(MainWIndows[Name],WindowSummary[[#This Row],[Name]],MainWIndows[total area]))</f>
        <v>0</v>
      </c>
    </row>
    <row r="58" spans="1:4" ht="14.25" customHeight="1" x14ac:dyDescent="0.45">
      <c r="A58" s="83"/>
      <c r="B58" s="72" t="s">
        <v>180</v>
      </c>
      <c r="C58" s="72">
        <f>SUM(C52:C57)</f>
        <v>2</v>
      </c>
      <c r="D58" s="73">
        <f t="shared" ref="D58" si="13">SUM(D52:D57)</f>
        <v>26.666666666666664</v>
      </c>
    </row>
    <row r="59" spans="1:4" hidden="1" x14ac:dyDescent="0.45">
      <c r="A59" s="83" t="str">
        <f>VLOOKUP($A$38,Reference!$D$2:$J$9,3,)</f>
        <v>South</v>
      </c>
      <c r="B59" s="10" t="s">
        <v>100</v>
      </c>
      <c r="C59" s="10">
        <f>SUMIF(MainWIndows[Name],B59,MainWIndows[count])</f>
        <v>0</v>
      </c>
      <c r="D59" s="10">
        <f>SUMIF(MainWIndows[Name],B59,MainWIndows[total area])</f>
        <v>0</v>
      </c>
    </row>
    <row r="60" spans="1:4" x14ac:dyDescent="0.45">
      <c r="A60" s="83"/>
      <c r="B60" s="10" t="s">
        <v>101</v>
      </c>
      <c r="C60" s="10">
        <f>SUMIF(MainWIndows[Name],B60,MainWIndows[count])</f>
        <v>6</v>
      </c>
      <c r="D60" s="24">
        <f>SUMIF(MainWIndows[Name],B60,MainWIndows[total area])</f>
        <v>97.777777777777771</v>
      </c>
    </row>
    <row r="61" spans="1:4" hidden="1" x14ac:dyDescent="0.45">
      <c r="A61" s="83"/>
      <c r="B61" t="s">
        <v>102</v>
      </c>
      <c r="C61" s="10">
        <f>SUMIF(MainWIndows[Name],B61,MainWIndows[count])</f>
        <v>0</v>
      </c>
      <c r="D61" s="10">
        <f>SUMIF(MainWIndows[Name],B61,MainWIndows[total area])</f>
        <v>0</v>
      </c>
    </row>
    <row r="62" spans="1:4" hidden="1" x14ac:dyDescent="0.45">
      <c r="A62" s="83"/>
      <c r="B62" t="s">
        <v>103</v>
      </c>
      <c r="C62" s="10">
        <f>SUMIF(MainWIndows[Name],B62,MainWIndows[count])</f>
        <v>0</v>
      </c>
      <c r="D62" s="10">
        <f>SUMIF(MainWIndows[Name],B62,MainWIndows[total area])</f>
        <v>0</v>
      </c>
    </row>
    <row r="63" spans="1:4" hidden="1" x14ac:dyDescent="0.45">
      <c r="A63" s="83"/>
      <c r="B63" t="s">
        <v>104</v>
      </c>
      <c r="C63" s="10">
        <f>SUMIF(MainWIndows[Name],B63,MainWIndows[count])</f>
        <v>0</v>
      </c>
      <c r="D63" s="10">
        <f>SUMIF(MainWIndows[Name],B63,MainWIndows[total area])</f>
        <v>0</v>
      </c>
    </row>
    <row r="64" spans="1:4" hidden="1" x14ac:dyDescent="0.45">
      <c r="A64" s="83"/>
      <c r="B64" t="s">
        <v>105</v>
      </c>
      <c r="C64" s="10">
        <f>SUMIF(MainWIndows[Name],B64,MainWIndows[count])</f>
        <v>0</v>
      </c>
      <c r="D64" s="10">
        <f>SUMIF(MainWIndows[Name],B64,MainWIndows[total area])</f>
        <v>0</v>
      </c>
    </row>
    <row r="65" spans="1:4" ht="14.65" thickBot="1" x14ac:dyDescent="0.5">
      <c r="A65" s="83"/>
      <c r="B65" s="72" t="s">
        <v>179</v>
      </c>
      <c r="C65" s="72">
        <f>SUM(C59:C64)</f>
        <v>6</v>
      </c>
      <c r="D65" s="73">
        <f>SUM(D59:D64)</f>
        <v>97.777777777777771</v>
      </c>
    </row>
    <row r="66" spans="1:4" hidden="1" x14ac:dyDescent="0.45">
      <c r="A66" s="83" t="str">
        <f>IF(C36="Yes",VLOOKUP($A$38,Reference!$D$2:$J$9,6,),VLOOKUP($A$38,Reference!$D$2:$J$9,5,))</f>
        <v>North-West</v>
      </c>
      <c r="B66" t="s">
        <v>106</v>
      </c>
      <c r="C66" s="10">
        <f>IF($C$36="Yes",SUMIF(MainWIndows[Name],B66,MainWIndows[count]),SUMIF(MainWIndows[Name],B73,MainWIndows[count]))</f>
        <v>0</v>
      </c>
      <c r="D66" s="10">
        <f>IF($C$36="Yes",SUMIF(MainWIndows[Name],B73,MainWIndows[total area]),SUMIF(MainWIndows[Name],B66,MainWIndows[total area]))</f>
        <v>0</v>
      </c>
    </row>
    <row r="67" spans="1:4" hidden="1" x14ac:dyDescent="0.45">
      <c r="A67" s="83"/>
      <c r="B67" t="s">
        <v>107</v>
      </c>
      <c r="C67" s="10">
        <f>IF($C$36="Yes",SUMIF(MainWIndows[Name],B67,MainWIndows[count]),SUMIF(MainWIndows[Name],B74,MainWIndows[count]))</f>
        <v>0</v>
      </c>
      <c r="D67" s="10">
        <f>IF($C$36="Yes",SUMIF(MainWIndows[Name],B74,MainWIndows[total area]),SUMIF(MainWIndows[Name],B67,MainWIndows[total area]))</f>
        <v>0</v>
      </c>
    </row>
    <row r="68" spans="1:4" hidden="1" x14ac:dyDescent="0.45">
      <c r="A68" s="83"/>
      <c r="B68" t="s">
        <v>108</v>
      </c>
      <c r="C68" s="10">
        <f>IF($C$36="Yes",SUMIF(MainWIndows[Name],B68,MainWIndows[count]),SUMIF(MainWIndows[Name],B75,MainWIndows[count]))</f>
        <v>0</v>
      </c>
      <c r="D68" s="10">
        <f>IF($C$36="Yes",SUMIF(MainWIndows[Name],B75,MainWIndows[total area]),SUMIF(MainWIndows[Name],B68,MainWIndows[total area]))</f>
        <v>0</v>
      </c>
    </row>
    <row r="69" spans="1:4" hidden="1" x14ac:dyDescent="0.45">
      <c r="A69" s="83"/>
      <c r="B69" t="s">
        <v>109</v>
      </c>
      <c r="C69" s="10">
        <f>IF($C$36="Yes",SUMIF(MainWIndows[Name],B69,MainWIndows[count]),SUMIF(MainWIndows[Name],B76,MainWIndows[count]))</f>
        <v>0</v>
      </c>
      <c r="D69" s="10">
        <f>IF($C$36="Yes",SUMIF(MainWIndows[Name],B76,MainWIndows[total area]),SUMIF(MainWIndows[Name],B69,MainWIndows[total area]))</f>
        <v>0</v>
      </c>
    </row>
    <row r="70" spans="1:4" hidden="1" x14ac:dyDescent="0.45">
      <c r="A70" s="83"/>
      <c r="B70" t="s">
        <v>110</v>
      </c>
      <c r="C70" s="10">
        <f>IF($C$36="Yes",SUMIF(MainWIndows[Name],B70,MainWIndows[count]),SUMIF(MainWIndows[Name],B77,MainWIndows[count]))</f>
        <v>0</v>
      </c>
      <c r="D70" s="10">
        <f>IF($C$36="Yes",SUMIF(MainWIndows[Name],B77,MainWIndows[total area]),SUMIF(MainWIndows[Name],B70,MainWIndows[total area]))</f>
        <v>0</v>
      </c>
    </row>
    <row r="71" spans="1:4" hidden="1" x14ac:dyDescent="0.45">
      <c r="A71" s="83"/>
      <c r="B71" t="s">
        <v>111</v>
      </c>
      <c r="C71" s="10">
        <f>IF($C$36="Yes",SUMIF(MainWIndows[Name],B71,MainWIndows[count]),SUMIF(MainWIndows[Name],B78,MainWIndows[count]))</f>
        <v>0</v>
      </c>
      <c r="D71" s="10">
        <f>IF($C$36="Yes",SUMIF(MainWIndows[Name],B78,MainWIndows[total area]),SUMIF(MainWIndows[Name],B71,MainWIndows[total area]))</f>
        <v>0</v>
      </c>
    </row>
    <row r="72" spans="1:4" hidden="1" x14ac:dyDescent="0.45">
      <c r="A72" s="83"/>
      <c r="B72" s="72" t="s">
        <v>178</v>
      </c>
      <c r="C72" s="72">
        <f>SUM(C66:C71)</f>
        <v>0</v>
      </c>
      <c r="D72" s="72">
        <f t="shared" ref="D72" si="14">SUM(D66:D71)</f>
        <v>0</v>
      </c>
    </row>
    <row r="73" spans="1:4" hidden="1" x14ac:dyDescent="0.45">
      <c r="A73" s="83" t="str">
        <f>IF(C36="Yes",VLOOKUP($A$38,Reference!$D$2:$J$9,5,),VLOOKUP($A$38,Reference!$D$2:$J$9,6,))</f>
        <v>North-East</v>
      </c>
      <c r="B73" s="10" t="s">
        <v>112</v>
      </c>
      <c r="C73" s="10">
        <f>IF($C$36="Yes",SUMIF(MainWIndows[Name],B66,MainWIndows[count]),SUMIF(MainWIndows[Name],B73,MainWIndows[count]))</f>
        <v>0</v>
      </c>
      <c r="D73" s="10">
        <f>IF($C$36="Yes",SUMIF(MainWIndows[Name],B66,MainWIndows[total area]),SUMIF(MainWIndows[Name],B73,MainWIndows[total area]))</f>
        <v>0</v>
      </c>
    </row>
    <row r="74" spans="1:4" hidden="1" x14ac:dyDescent="0.45">
      <c r="A74" s="83"/>
      <c r="B74" s="10" t="s">
        <v>113</v>
      </c>
      <c r="C74" s="10">
        <f>IF($C$36="Yes",SUMIF(MainWIndows[Name],B74,MainWIndows[count]),SUMIF(MainWIndows[Name],B81,MainWIndows[count]))</f>
        <v>0</v>
      </c>
      <c r="D74" s="10">
        <f>IF($C$36="Yes",SUMIF(MainWIndows[Name],B81,MainWIndows[total area]),SUMIF(MainWIndows[Name],B74,MainWIndows[total area]))</f>
        <v>0</v>
      </c>
    </row>
    <row r="75" spans="1:4" hidden="1" x14ac:dyDescent="0.45">
      <c r="A75" s="83"/>
      <c r="B75" s="10" t="s">
        <v>114</v>
      </c>
      <c r="C75" s="10">
        <f>IF($C$36="Yes",SUMIF(MainWIndows[Name],B75,MainWIndows[count]),SUMIF(MainWIndows[Name],B82,MainWIndows[count]))</f>
        <v>0</v>
      </c>
      <c r="D75" s="10">
        <f>IF($C$36="Yes",SUMIF(MainWIndows[Name],B82,MainWIndows[total area]),SUMIF(MainWIndows[Name],B75,MainWIndows[total area]))</f>
        <v>0</v>
      </c>
    </row>
    <row r="76" spans="1:4" hidden="1" x14ac:dyDescent="0.45">
      <c r="A76" s="83"/>
      <c r="B76" s="10" t="s">
        <v>115</v>
      </c>
      <c r="C76" s="10">
        <f>IF($C$36="Yes",SUMIF(MainWIndows[Name],B76,MainWIndows[count]),SUMIF(MainWIndows[Name],B83,MainWIndows[count]))</f>
        <v>0</v>
      </c>
      <c r="D76" s="10">
        <f>IF($C$36="Yes",SUMIF(MainWIndows[Name],B83,MainWIndows[total area]),SUMIF(MainWIndows[Name],B76,MainWIndows[total area]))</f>
        <v>0</v>
      </c>
    </row>
    <row r="77" spans="1:4" hidden="1" x14ac:dyDescent="0.45">
      <c r="A77" s="83"/>
      <c r="B77" s="10" t="s">
        <v>116</v>
      </c>
      <c r="C77" s="10">
        <f>IF($C$36="Yes",SUMIF(MainWIndows[Name],B77,MainWIndows[count]),SUMIF(MainWIndows[Name],B84,MainWIndows[count]))</f>
        <v>0</v>
      </c>
      <c r="D77" s="10">
        <f>IF($C$36="Yes",SUMIF(MainWIndows[Name],B84,MainWIndows[total area]),SUMIF(MainWIndows[Name],B77,MainWIndows[total area]))</f>
        <v>0</v>
      </c>
    </row>
    <row r="78" spans="1:4" hidden="1" x14ac:dyDescent="0.45">
      <c r="A78" s="83"/>
      <c r="B78" s="10" t="s">
        <v>117</v>
      </c>
      <c r="C78" s="10">
        <f>IF($C$36="Yes",SUMIF(MainWIndows[Name],B78,MainWIndows[count]),SUMIF(MainWIndows[Name],B85,MainWIndows[count]))</f>
        <v>0</v>
      </c>
      <c r="D78" s="10">
        <f>IF($C$36="Yes",SUMIF(MainWIndows[Name],B85,MainWIndows[total area]),SUMIF(MainWIndows[Name],B78,MainWIndows[total area]))</f>
        <v>0</v>
      </c>
    </row>
    <row r="79" spans="1:4" hidden="1" x14ac:dyDescent="0.45">
      <c r="A79" s="83"/>
      <c r="B79" s="72" t="s">
        <v>177</v>
      </c>
      <c r="C79" s="72">
        <f>SUM(C73:C78)</f>
        <v>0</v>
      </c>
      <c r="D79" s="72">
        <f t="shared" ref="D79" si="15">SUM(D73:D78)</f>
        <v>0</v>
      </c>
    </row>
    <row r="80" spans="1:4" hidden="1" x14ac:dyDescent="0.45">
      <c r="A80" s="83" t="str">
        <f>IF(C36="Yes",VLOOKUP($A$38,Reference!$D$2:$J$9,8,),VLOOKUP($A$38,Reference!$D$2:$J$9,7,))</f>
        <v>South-West</v>
      </c>
      <c r="B80" s="10" t="s">
        <v>118</v>
      </c>
      <c r="C80" s="10">
        <f>IF($C$36="Yes",SUMIF(MainWIndows[Name],B80,MainWIndows[count]),SUMIF(MainWIndows[Name],B87,MainWIndows[count]))</f>
        <v>0</v>
      </c>
      <c r="D80" s="10">
        <f>IF($C$36="Yes",SUMIF(MainWIndows[Name],B87,MainWIndows[total area]),SUMIF(MainWIndows[Name],B80,MainWIndows[total area]))</f>
        <v>0</v>
      </c>
    </row>
    <row r="81" spans="1:4" hidden="1" x14ac:dyDescent="0.45">
      <c r="A81" s="83"/>
      <c r="B81" s="10" t="s">
        <v>119</v>
      </c>
      <c r="C81" s="10">
        <f>IF($C$36="Yes",SUMIF(MainWIndows[Name],B81,MainWIndows[count]),SUMIF(MainWIndows[Name],B88,MainWIndows[count]))</f>
        <v>0</v>
      </c>
      <c r="D81" s="10">
        <f>IF($C$36="Yes",SUMIF(MainWIndows[Name],B88,MainWIndows[total area]),SUMIF(MainWIndows[Name],B81,MainWIndows[total area]))</f>
        <v>0</v>
      </c>
    </row>
    <row r="82" spans="1:4" hidden="1" x14ac:dyDescent="0.45">
      <c r="A82" s="83"/>
      <c r="B82" s="10" t="s">
        <v>120</v>
      </c>
      <c r="C82" s="10">
        <f>IF($C$36="Yes",SUMIF(MainWIndows[Name],B82,MainWIndows[count]),SUMIF(MainWIndows[Name],B89,MainWIndows[count]))</f>
        <v>0</v>
      </c>
      <c r="D82" s="10">
        <f>IF($C$36="Yes",SUMIF(MainWIndows[Name],B89,MainWIndows[total area]),SUMIF(MainWIndows[Name],B82,MainWIndows[total area]))</f>
        <v>0</v>
      </c>
    </row>
    <row r="83" spans="1:4" hidden="1" x14ac:dyDescent="0.45">
      <c r="A83" s="83"/>
      <c r="B83" s="10" t="s">
        <v>121</v>
      </c>
      <c r="C83" s="10">
        <f>IF($C$36="Yes",SUMIF(MainWIndows[Name],B83,MainWIndows[count]),SUMIF(MainWIndows[Name],B90,MainWIndows[count]))</f>
        <v>0</v>
      </c>
      <c r="D83" s="10">
        <f>IF($C$36="Yes",SUMIF(MainWIndows[Name],B90,MainWIndows[total area]),SUMIF(MainWIndows[Name],B83,MainWIndows[total area]))</f>
        <v>0</v>
      </c>
    </row>
    <row r="84" spans="1:4" hidden="1" x14ac:dyDescent="0.45">
      <c r="A84" s="83"/>
      <c r="B84" s="10" t="s">
        <v>122</v>
      </c>
      <c r="C84" s="10">
        <f>IF($C$36="Yes",SUMIF(MainWIndows[Name],B84,MainWIndows[count]),SUMIF(MainWIndows[Name],B91,MainWIndows[count]))</f>
        <v>0</v>
      </c>
      <c r="D84" s="10">
        <f>IF($C$36="Yes",SUMIF(MainWIndows[Name],B91,MainWIndows[total area]),SUMIF(MainWIndows[Name],B84,MainWIndows[total area]))</f>
        <v>0</v>
      </c>
    </row>
    <row r="85" spans="1:4" hidden="1" x14ac:dyDescent="0.45">
      <c r="A85" s="83"/>
      <c r="B85" s="10" t="s">
        <v>123</v>
      </c>
      <c r="C85" s="10">
        <f>IF($C$36="Yes",SUMIF(MainWIndows[Name],B85,MainWIndows[count]),SUMIF(MainWIndows[Name],B92,MainWIndows[count]))</f>
        <v>0</v>
      </c>
      <c r="D85" s="10">
        <f>IF($C$36="Yes",SUMIF(MainWIndows[Name],B92,MainWIndows[total area]),SUMIF(MainWIndows[Name],B85,MainWIndows[total area]))</f>
        <v>0</v>
      </c>
    </row>
    <row r="86" spans="1:4" hidden="1" x14ac:dyDescent="0.45">
      <c r="A86" s="83"/>
      <c r="B86" s="72" t="s">
        <v>176</v>
      </c>
      <c r="C86" s="72">
        <f>SUM(C80:C85)</f>
        <v>0</v>
      </c>
      <c r="D86" s="72">
        <f t="shared" ref="D86" si="16">SUM(D80:D85)</f>
        <v>0</v>
      </c>
    </row>
    <row r="87" spans="1:4" hidden="1" x14ac:dyDescent="0.45">
      <c r="A87" s="83" t="e">
        <f>IF(C36="Yes",VLOOKUP($A$38,Reference!$D$2:$J$9,7,),VLOOKUP($A$38,Reference!$D$2:$J$9,8,))</f>
        <v>#REF!</v>
      </c>
      <c r="B87" s="10" t="s">
        <v>124</v>
      </c>
      <c r="C87" s="10">
        <f>IF($C$36="Yes",SUMIF(MainWIndows[Name],B80,MainWIndows[count]),SUMIF(MainWIndows[Name],B87,MainWIndows[count]))</f>
        <v>0</v>
      </c>
      <c r="D87" s="10">
        <f>IF($C$36="Yes",SUMIF(MainWIndows[Name],B80,MainWIndows[total area]),SUMIF(MainWIndows[Name],B87,MainWIndows[total area]))</f>
        <v>0</v>
      </c>
    </row>
    <row r="88" spans="1:4" hidden="1" x14ac:dyDescent="0.45">
      <c r="A88" s="83"/>
      <c r="B88" s="10" t="s">
        <v>125</v>
      </c>
      <c r="C88" s="10">
        <f>IF($C$36="Yes",SUMIF(MainWIndows[Name],B88,MainWIndows[count]),SUMIF(MainWIndows[Name],B95,MainWIndows[count]))</f>
        <v>0</v>
      </c>
      <c r="D88" s="10">
        <f>IF($C$36="Yes",SUMIF(MainWIndows[Name],B95,MainWIndows[total area]),SUMIF(MainWIndows[Name],B88,MainWIndows[total area]))</f>
        <v>0</v>
      </c>
    </row>
    <row r="89" spans="1:4" hidden="1" x14ac:dyDescent="0.45">
      <c r="A89" s="83"/>
      <c r="B89" s="10" t="s">
        <v>126</v>
      </c>
      <c r="C89" s="10">
        <f>IF($C$36="Yes",SUMIF(MainWIndows[Name],B89,MainWIndows[count]),SUMIF(MainWIndows[Name],B96,MainWIndows[count]))</f>
        <v>0</v>
      </c>
      <c r="D89" s="10">
        <f>IF($C$36="Yes",SUMIF(MainWIndows[Name],B96,MainWIndows[total area]),SUMIF(MainWIndows[Name],B89,MainWIndows[total area]))</f>
        <v>0</v>
      </c>
    </row>
    <row r="90" spans="1:4" hidden="1" x14ac:dyDescent="0.45">
      <c r="A90" s="83"/>
      <c r="B90" s="10" t="s">
        <v>127</v>
      </c>
      <c r="C90" s="10">
        <f>IF($C$36="Yes",SUMIF(MainWIndows[Name],B90,MainWIndows[count]),SUMIF(MainWIndows[Name],B97,MainWIndows[count]))</f>
        <v>0</v>
      </c>
      <c r="D90" s="10">
        <f>IF($C$36="Yes",SUMIF(MainWIndows[Name],B97,MainWIndows[total area]),SUMIF(MainWIndows[Name],B90,MainWIndows[total area]))</f>
        <v>0</v>
      </c>
    </row>
    <row r="91" spans="1:4" hidden="1" x14ac:dyDescent="0.45">
      <c r="A91" s="83"/>
      <c r="B91" s="10" t="s">
        <v>128</v>
      </c>
      <c r="C91" s="10">
        <f>IF($C$36="Yes",SUMIF(MainWIndows[Name],B91,MainWIndows[count]),SUMIF(MainWIndows[Name],B98,MainWIndows[count]))</f>
        <v>0</v>
      </c>
      <c r="D91" s="10">
        <f>IF($C$36="Yes",SUMIF(MainWIndows[Name],B98,MainWIndows[total area]),SUMIF(MainWIndows[Name],B91,MainWIndows[total area]))</f>
        <v>0</v>
      </c>
    </row>
    <row r="92" spans="1:4" hidden="1" x14ac:dyDescent="0.45">
      <c r="A92" s="83"/>
      <c r="B92" s="10" t="s">
        <v>129</v>
      </c>
      <c r="C92" s="10">
        <f>IF($C$36="Yes",SUMIF(MainWIndows[Name],B92,MainWIndows[count]),SUMIF(MainWIndows[Name],B99,MainWIndows[count]))</f>
        <v>0</v>
      </c>
      <c r="D92" s="10">
        <f>IF($C$36="Yes",SUMIF(MainWIndows[Name],B99,MainWIndows[total area]),SUMIF(MainWIndows[Name],B92,MainWIndows[total area]))</f>
        <v>0</v>
      </c>
    </row>
    <row r="93" spans="1:4" ht="14.65" hidden="1" thickBot="1" x14ac:dyDescent="0.5">
      <c r="A93" s="83"/>
      <c r="B93" s="72" t="s">
        <v>175</v>
      </c>
      <c r="C93" s="72">
        <f>SUM(C87:C92)</f>
        <v>0</v>
      </c>
      <c r="D93" s="72">
        <f t="shared" ref="D93" si="17">SUM(D87:D92)</f>
        <v>0</v>
      </c>
    </row>
    <row r="94" spans="1:4" ht="14.65" thickBot="1" x14ac:dyDescent="0.5">
      <c r="B94" s="16" t="s">
        <v>73</v>
      </c>
      <c r="C94" s="17">
        <f>SUM(WindowSummary[Window Count])</f>
        <v>32</v>
      </c>
      <c r="D94" s="69">
        <f>IF(SUM(D93,D86,D79,D72,D65,D58,D51,D44)=SUM(MainWIndows[total area]),SUM(D93,D86,D79,D72,D65,D58,D51,D44),"ERROR")</f>
        <v>238.11111111111109</v>
      </c>
    </row>
  </sheetData>
  <mergeCells count="10">
    <mergeCell ref="A87:A93"/>
    <mergeCell ref="A80:A86"/>
    <mergeCell ref="A73:A79"/>
    <mergeCell ref="A66:A72"/>
    <mergeCell ref="A1:R1"/>
    <mergeCell ref="A38:A44"/>
    <mergeCell ref="A59:A65"/>
    <mergeCell ref="A52:A58"/>
    <mergeCell ref="A45:A51"/>
    <mergeCell ref="A35:D35"/>
  </mergeCells>
  <dataValidations count="5">
    <dataValidation type="list" allowBlank="1" showInputMessage="1" showErrorMessage="1" sqref="C36" xr:uid="{BB66EBA1-5640-4C79-92D9-6A689733F5C8}">
      <formula1>"Yes, No"</formula1>
    </dataValidation>
    <dataValidation type="list" allowBlank="1" showInputMessage="1" showErrorMessage="1" sqref="D3:D32" xr:uid="{E25C7B68-A3DD-4F57-A3A7-578803FF7B65}">
      <formula1>"Shaded, First, Second, Third, Fourth, Basement"</formula1>
    </dataValidation>
    <dataValidation type="list" allowBlank="1" showInputMessage="1" showErrorMessage="1" sqref="D33" xr:uid="{3465D0C8-0E97-46CA-842D-5F308A39F9B4}">
      <formula1>"Shaded, First Floor, Second Floor, Third Floor, Fourth Floor, Basement"</formula1>
    </dataValidation>
    <dataValidation type="list" allowBlank="1" showInputMessage="1" showErrorMessage="1" sqref="C3:C33" xr:uid="{8637063E-C1A0-4E02-AFAA-972791323117}">
      <formula1>"Front, Left, Back, Right, Front-Right, Front-Left, Back-Right, Back-Left"</formula1>
    </dataValidation>
    <dataValidation type="list" allowBlank="1" showInputMessage="1" showErrorMessage="1" sqref="B3:B33" xr:uid="{B3475A93-3848-4438-BAD8-202A2BC8C46D}">
      <formula1>"OPT, -"</formula1>
    </dataValidation>
  </dataValidations>
  <pageMargins left="0.7" right="0.7" top="0.75" bottom="0.75" header="0.3" footer="0.3"/>
  <pageSetup orientation="portrait" horizontalDpi="1200" verticalDpi="1200" r:id="rId1"/>
  <legacyDrawing r:id="rId2"/>
  <tableParts count="2">
    <tablePart r:id="rId3"/>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0F23CF3E-7B77-482C-9E08-D120FF05BB45}">
          <x14:formula1>
            <xm:f>Reference!$D$2:$D$9</xm:f>
          </x14:formula1>
          <xm:sqref>A38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2B200-CF33-48BA-A3D5-8183DF43FF5E}">
  <sheetPr codeName="Sheet3"/>
  <dimension ref="A1:T101"/>
  <sheetViews>
    <sheetView workbookViewId="0">
      <selection activeCell="C11" sqref="C11"/>
    </sheetView>
  </sheetViews>
  <sheetFormatPr defaultRowHeight="14.25" x14ac:dyDescent="0.45"/>
  <cols>
    <col min="1" max="1" width="30.86328125" style="37" bestFit="1" customWidth="1"/>
    <col min="2" max="2" width="13.53125" style="37" bestFit="1" customWidth="1"/>
    <col min="3" max="3" width="13.53125" style="37" customWidth="1"/>
    <col min="4" max="4" width="22.33203125" style="37" bestFit="1" customWidth="1"/>
    <col min="5" max="5" width="16.86328125" style="37" bestFit="1" customWidth="1"/>
    <col min="6" max="6" width="24.59765625" style="37" bestFit="1" customWidth="1"/>
    <col min="7" max="8" width="10.59765625" style="37" customWidth="1"/>
    <col min="9" max="10" width="11.265625" style="37" customWidth="1"/>
    <col min="11" max="11" width="7.53125" style="37" bestFit="1" customWidth="1"/>
    <col min="12" max="12" width="13.265625" style="37" bestFit="1" customWidth="1"/>
    <col min="13" max="13" width="15" style="37" bestFit="1" customWidth="1"/>
    <col min="14" max="14" width="12.73046875" style="37" bestFit="1" customWidth="1"/>
    <col min="15" max="15" width="17.6640625" style="37" bestFit="1" customWidth="1"/>
    <col min="16" max="16" width="24.59765625" style="37" bestFit="1" customWidth="1"/>
    <col min="17" max="18" width="8.33203125" style="37" bestFit="1" customWidth="1"/>
    <col min="19" max="19" width="10.86328125" style="37" bestFit="1" customWidth="1"/>
    <col min="20" max="16384" width="9.06640625" style="37"/>
  </cols>
  <sheetData>
    <row r="1" spans="1:12" ht="14.65" customHeight="1" thickBot="1" x14ac:dyDescent="0.5">
      <c r="J1" s="91" t="s">
        <v>206</v>
      </c>
      <c r="K1" s="91"/>
      <c r="L1" s="91"/>
    </row>
    <row r="2" spans="1:12" x14ac:dyDescent="0.45">
      <c r="A2" s="38" t="s">
        <v>33</v>
      </c>
      <c r="B2" s="39">
        <f>ABS(SUM(FirstFloor[Area sum])/2)-SUM(Table1924[Areas to subtract])</f>
        <v>1060</v>
      </c>
      <c r="J2" s="91"/>
      <c r="K2" s="91"/>
      <c r="L2" s="91"/>
    </row>
    <row r="3" spans="1:12" x14ac:dyDescent="0.45">
      <c r="A3" s="40" t="s">
        <v>27</v>
      </c>
      <c r="B3" s="41">
        <f>B2-'2nd Floor'!B4+SUM(Table1924[Areas to subtract])</f>
        <v>660</v>
      </c>
      <c r="J3" s="91"/>
      <c r="K3" s="91"/>
      <c r="L3" s="91"/>
    </row>
    <row r="4" spans="1:12" x14ac:dyDescent="0.45">
      <c r="A4" s="40" t="s">
        <v>28</v>
      </c>
      <c r="B4" s="41">
        <f>IF(AND('1st Floor'!B6="Yes",OR('1st Floor'!B5="",'1st Floor'!B5="No")),'Bsmt-Found'!B2,IF(AND('1st Floor'!B5="Yes",OR('1st Floor'!B6="",'1st Floor'!B6="No")),B2,IF(AND(B5="Yes",B6="Yes"),"Overlap error",ABS(SUM(OverlapFirstFloor[Area sum])/2))))</f>
        <v>0</v>
      </c>
      <c r="J4" s="91"/>
      <c r="K4" s="91"/>
      <c r="L4" s="91"/>
    </row>
    <row r="5" spans="1:12" x14ac:dyDescent="0.45">
      <c r="A5" s="40" t="s">
        <v>182</v>
      </c>
      <c r="B5" s="49"/>
    </row>
    <row r="6" spans="1:12" x14ac:dyDescent="0.45">
      <c r="A6" s="40" t="s">
        <v>183</v>
      </c>
      <c r="B6" s="50"/>
    </row>
    <row r="7" spans="1:12" ht="14.65" thickBot="1" x14ac:dyDescent="0.5">
      <c r="A7" s="42" t="s">
        <v>45</v>
      </c>
      <c r="B7" s="43" t="str">
        <f>IF('Bsmt-Found'!B2=0,"",B2-B4)</f>
        <v/>
      </c>
    </row>
    <row r="8" spans="1:12" ht="14.65" thickBot="1" x14ac:dyDescent="0.5"/>
    <row r="9" spans="1:12" x14ac:dyDescent="0.45">
      <c r="A9" s="87" t="s">
        <v>39</v>
      </c>
      <c r="B9" s="88"/>
      <c r="C9" s="89"/>
    </row>
    <row r="10" spans="1:12" x14ac:dyDescent="0.45">
      <c r="A10" s="40"/>
      <c r="B10" s="44" t="s">
        <v>200</v>
      </c>
      <c r="C10" s="41" t="s">
        <v>201</v>
      </c>
    </row>
    <row r="11" spans="1:12" x14ac:dyDescent="0.45">
      <c r="A11" s="40" t="str">
        <f>A32</f>
        <v>First Floor</v>
      </c>
      <c r="B11" s="36"/>
      <c r="C11" s="49"/>
    </row>
    <row r="12" spans="1:12" ht="14.65" thickBot="1" x14ac:dyDescent="0.5">
      <c r="A12" s="42" t="str">
        <f>L32</f>
        <v>First Floor rim joist</v>
      </c>
      <c r="B12" s="51"/>
      <c r="C12" s="52"/>
    </row>
    <row r="14" spans="1:12" x14ac:dyDescent="0.45">
      <c r="A14" s="37" t="s">
        <v>130</v>
      </c>
      <c r="B14" s="37" t="s">
        <v>155</v>
      </c>
    </row>
    <row r="15" spans="1:12" x14ac:dyDescent="0.45">
      <c r="A15" s="37" t="s">
        <v>152</v>
      </c>
      <c r="B15" s="37">
        <f>SUM(FirstFloor[Offset Change])</f>
        <v>160</v>
      </c>
    </row>
    <row r="16" spans="1:12" x14ac:dyDescent="0.45">
      <c r="A16" s="37" t="s">
        <v>149</v>
      </c>
      <c r="B16" s="37">
        <f>SUMIF(FirstFloor[Wall Type],A16,FirstFloor[Offset Change])</f>
        <v>0</v>
      </c>
    </row>
    <row r="17" spans="1:20" x14ac:dyDescent="0.45">
      <c r="A17" s="37" t="s">
        <v>168</v>
      </c>
      <c r="B17" s="37">
        <f>SUMIF(FirstFloor[Wall Type],A17,FirstFloor[Offset Change])</f>
        <v>123</v>
      </c>
    </row>
    <row r="18" spans="1:20" x14ac:dyDescent="0.45">
      <c r="A18" s="37" t="s">
        <v>169</v>
      </c>
      <c r="B18" s="37">
        <f>SUMIF(FirstFloor[Wall Type],A18,FirstFloor[Offset Change])</f>
        <v>0</v>
      </c>
    </row>
    <row r="19" spans="1:20" x14ac:dyDescent="0.45">
      <c r="A19" s="37" t="s">
        <v>150</v>
      </c>
      <c r="B19" s="37">
        <f>SUMIF(FirstFloor[Wall Type],A19,FirstFloor[Offset Change])</f>
        <v>37</v>
      </c>
    </row>
    <row r="20" spans="1:20" x14ac:dyDescent="0.45">
      <c r="A20" s="37" t="s">
        <v>147</v>
      </c>
      <c r="B20" s="37">
        <f>SUMIF(FirstFloor[Wall Type],A20,FirstFloor[Offset Change])</f>
        <v>0</v>
      </c>
    </row>
    <row r="22" spans="1:20" x14ac:dyDescent="0.45">
      <c r="A22" s="37" t="s">
        <v>184</v>
      </c>
    </row>
    <row r="23" spans="1:20" x14ac:dyDescent="0.45">
      <c r="A23" s="36"/>
    </row>
    <row r="24" spans="1:20" x14ac:dyDescent="0.45">
      <c r="A24" s="36"/>
    </row>
    <row r="25" spans="1:20" x14ac:dyDescent="0.45">
      <c r="A25" s="36"/>
    </row>
    <row r="26" spans="1:20" x14ac:dyDescent="0.45">
      <c r="A26" s="36"/>
    </row>
    <row r="32" spans="1:20" ht="18" x14ac:dyDescent="0.55000000000000004">
      <c r="A32" s="90" t="s">
        <v>40</v>
      </c>
      <c r="B32" s="90"/>
      <c r="C32" s="90"/>
      <c r="D32" s="90"/>
      <c r="E32" s="90"/>
      <c r="F32" s="90"/>
      <c r="G32" s="90"/>
      <c r="H32" s="90"/>
      <c r="I32" s="90"/>
      <c r="J32" s="90"/>
      <c r="L32" s="90" t="s">
        <v>195</v>
      </c>
      <c r="M32" s="90"/>
      <c r="N32" s="90"/>
      <c r="O32" s="90"/>
      <c r="P32" s="90"/>
      <c r="Q32" s="90"/>
      <c r="R32" s="90"/>
      <c r="S32" s="90"/>
      <c r="T32" s="90"/>
    </row>
    <row r="33" spans="1:20" x14ac:dyDescent="0.45">
      <c r="A33" s="45" t="s">
        <v>12</v>
      </c>
      <c r="B33" s="53"/>
      <c r="C33" s="46"/>
      <c r="D33" s="46"/>
      <c r="E33" s="46"/>
      <c r="F33" s="46"/>
      <c r="G33" s="46" t="s">
        <v>10</v>
      </c>
      <c r="H33" s="46"/>
      <c r="I33" s="46"/>
      <c r="J33" s="47"/>
      <c r="L33" s="45" t="s">
        <v>12</v>
      </c>
      <c r="M33" s="53">
        <v>0</v>
      </c>
      <c r="N33" s="46"/>
      <c r="O33" s="46"/>
      <c r="P33" s="46"/>
      <c r="Q33" s="46"/>
      <c r="R33" s="46" t="s">
        <v>10</v>
      </c>
      <c r="S33" s="46"/>
      <c r="T33" s="46"/>
    </row>
    <row r="34" spans="1:20" x14ac:dyDescent="0.45">
      <c r="A34" s="37" t="s">
        <v>14</v>
      </c>
      <c r="B34" s="37" t="s">
        <v>11</v>
      </c>
      <c r="C34" s="37" t="s">
        <v>9</v>
      </c>
      <c r="D34" s="37" t="s">
        <v>30</v>
      </c>
      <c r="E34" s="37" t="s">
        <v>151</v>
      </c>
      <c r="F34" s="37" t="s">
        <v>16</v>
      </c>
      <c r="G34" s="37" t="s">
        <v>29</v>
      </c>
      <c r="H34" s="37" t="s">
        <v>31</v>
      </c>
      <c r="I34" s="37" t="s">
        <v>32</v>
      </c>
      <c r="J34" s="37" t="s">
        <v>37</v>
      </c>
      <c r="L34" s="37" t="s">
        <v>14</v>
      </c>
      <c r="M34" s="37" t="s">
        <v>11</v>
      </c>
      <c r="N34" s="37" t="s">
        <v>9</v>
      </c>
      <c r="O34" s="37" t="s">
        <v>30</v>
      </c>
      <c r="P34" s="37" t="s">
        <v>16</v>
      </c>
      <c r="Q34" s="37" t="s">
        <v>29</v>
      </c>
      <c r="R34" s="37" t="s">
        <v>31</v>
      </c>
      <c r="S34" s="37" t="s">
        <v>32</v>
      </c>
      <c r="T34" s="37" t="s">
        <v>37</v>
      </c>
    </row>
    <row r="35" spans="1:20" x14ac:dyDescent="0.45">
      <c r="A35" s="37">
        <v>0</v>
      </c>
      <c r="B35" s="54" t="s">
        <v>13</v>
      </c>
      <c r="C35" s="54" t="s">
        <v>13</v>
      </c>
      <c r="D35" s="54" t="s">
        <v>13</v>
      </c>
      <c r="E35" s="54" t="s">
        <v>13</v>
      </c>
      <c r="F35" s="54" t="s">
        <v>13</v>
      </c>
      <c r="G35" s="54" t="s">
        <v>13</v>
      </c>
      <c r="H35" s="48">
        <f>$B$11</f>
        <v>0</v>
      </c>
      <c r="I35" s="48">
        <f>$C$11</f>
        <v>0</v>
      </c>
      <c r="J35" s="37">
        <v>0</v>
      </c>
      <c r="L35" s="37">
        <v>0</v>
      </c>
      <c r="M35" s="54" t="s">
        <v>13</v>
      </c>
      <c r="N35" s="54" t="s">
        <v>13</v>
      </c>
      <c r="O35" s="54" t="s">
        <v>13</v>
      </c>
      <c r="P35" s="54" t="s">
        <v>13</v>
      </c>
      <c r="Q35" s="54" t="s">
        <v>13</v>
      </c>
      <c r="R35" s="48">
        <f>B12</f>
        <v>0</v>
      </c>
      <c r="S35" s="48">
        <f>C12</f>
        <v>0</v>
      </c>
      <c r="T35" s="37">
        <v>0</v>
      </c>
    </row>
    <row r="36" spans="1:20" x14ac:dyDescent="0.45">
      <c r="A36" s="37">
        <v>1</v>
      </c>
      <c r="B36" s="34">
        <v>15</v>
      </c>
      <c r="C36" s="35" t="s">
        <v>4</v>
      </c>
      <c r="D36" s="34"/>
      <c r="E36" s="34" t="s">
        <v>168</v>
      </c>
      <c r="F36" s="37">
        <f>FirstFloor[[#This Row],[Unit Change]]+$B$33*2</f>
        <v>15</v>
      </c>
      <c r="G36" s="37">
        <f>_xlfn.IFNA(IF(FirstFloor[[#This Row],[Custom Angular Direction]]="",INDEX(Direction[Degree],MATCH(FirstFloor[[#This Row],[Direction]],Direction[Direction],0)),FirstFloor[[#This Row],[Custom Angular Direction]]),"")</f>
        <v>0</v>
      </c>
      <c r="H36" s="48">
        <f>IFERROR(IF(COS(RADIANS(FirstFloor[[#This Row],[Angular Direction]]))*FirstFloor[[#This Row],[Unit Change]]=0,H35,H35+COS(RADIANS(FirstFloor[[#This Row],[Angular Direction]]))*FirstFloor[[#This Row],[Unit Change]]),$H$35)</f>
        <v>15</v>
      </c>
      <c r="I36" s="48">
        <f>IFERROR(IF(SIN(RADIANS(FirstFloor[[#This Row],[Angular Direction]]))*FirstFloor[[#This Row],[Unit Change]]=0,I35,I35+SIN(RADIANS(FirstFloor[[#This Row],[Angular Direction]]))*FirstFloor[[#This Row],[Unit Change]]),$I$35)</f>
        <v>0</v>
      </c>
      <c r="J36" s="48">
        <f>H35*FirstFloor[[#This Row],[Y-Axis]]-I35*FirstFloor[[#This Row],[X-Axis]]</f>
        <v>0</v>
      </c>
      <c r="L36" s="37">
        <v>1</v>
      </c>
      <c r="M36" s="34"/>
      <c r="N36" s="35"/>
      <c r="O36" s="55"/>
      <c r="P36" s="37">
        <f>OverlapFirstFloor[[#This Row],[Unit Change]]+$M$33*2</f>
        <v>0</v>
      </c>
      <c r="Q36" s="37" t="str">
        <f>_xlfn.IFNA(IF(OverlapFirstFloor[[#This Row],[Custom Angular Direction]]="",INDEX(Direction[Degree],MATCH(OverlapFirstFloor[[#This Row],[Direction]],Direction[Direction],0)),OverlapFirstFloor[[#This Row],[Custom Angular Direction]]),"")</f>
        <v/>
      </c>
      <c r="R36" s="48">
        <f>IFERROR(IF(COS(RADIANS(OverlapFirstFloor[[#This Row],[Angular Direction]]))*OverlapFirstFloor[[#This Row],[Unit Change]]=0,R35,R35+COS(RADIANS(OverlapFirstFloor[[#This Row],[Angular Direction]]))*OverlapFirstFloor[[#This Row],[Unit Change]]),$R$35)</f>
        <v>0</v>
      </c>
      <c r="S36" s="48">
        <f>IFERROR(IF(SIN(RADIANS(OverlapFirstFloor[[#This Row],[Angular Direction]]))*OverlapFirstFloor[[#This Row],[Unit Change]]=0,S35,S35+SIN(RADIANS(OverlapFirstFloor[[#This Row],[Angular Direction]]))*OverlapFirstFloor[[#This Row],[Unit Change]]),$S$35)</f>
        <v>0</v>
      </c>
      <c r="T36" s="48">
        <f>R35*OverlapFirstFloor[[#This Row],[Y-Axis]]-S35*OverlapFirstFloor[[#This Row],[X-Axis]]</f>
        <v>0</v>
      </c>
    </row>
    <row r="37" spans="1:20" x14ac:dyDescent="0.45">
      <c r="A37" s="37">
        <v>2</v>
      </c>
      <c r="B37" s="34">
        <v>5</v>
      </c>
      <c r="C37" s="35" t="s">
        <v>1</v>
      </c>
      <c r="D37" s="34"/>
      <c r="E37" s="34" t="s">
        <v>168</v>
      </c>
      <c r="F37" s="37">
        <f>FirstFloor[[#This Row],[Unit Change]]+$B$33*2</f>
        <v>5</v>
      </c>
      <c r="G37" s="37">
        <f>_xlfn.IFNA(IF(FirstFloor[[#This Row],[Custom Angular Direction]]="",INDEX(Direction[Degree],MATCH(FirstFloor[[#This Row],[Direction]],Direction[Direction],0)),FirstFloor[[#This Row],[Custom Angular Direction]]),"")</f>
        <v>90</v>
      </c>
      <c r="H37" s="48">
        <f>IFERROR(IF(COS(RADIANS(FirstFloor[[#This Row],[Angular Direction]]))*FirstFloor[[#This Row],[Unit Change]]=0,H36,H36+COS(RADIANS(FirstFloor[[#This Row],[Angular Direction]]))*FirstFloor[[#This Row],[Unit Change]]),$H$35)</f>
        <v>15</v>
      </c>
      <c r="I37" s="48">
        <f>IFERROR(IF(SIN(RADIANS(FirstFloor[[#This Row],[Angular Direction]]))*FirstFloor[[#This Row],[Unit Change]]=0,I36,I36+SIN(RADIANS(FirstFloor[[#This Row],[Angular Direction]]))*FirstFloor[[#This Row],[Unit Change]]),$I$35)</f>
        <v>5</v>
      </c>
      <c r="J37" s="48">
        <f>H36*FirstFloor[[#This Row],[Y-Axis]]-I36*FirstFloor[[#This Row],[X-Axis]]</f>
        <v>75</v>
      </c>
      <c r="L37" s="37">
        <v>2</v>
      </c>
      <c r="M37" s="34"/>
      <c r="N37" s="35"/>
      <c r="O37" s="55"/>
      <c r="P37" s="37">
        <f>OverlapFirstFloor[[#This Row],[Unit Change]]+$B$33*2</f>
        <v>0</v>
      </c>
      <c r="Q37" s="37" t="str">
        <f>_xlfn.IFNA(IF(OverlapFirstFloor[[#This Row],[Custom Angular Direction]]="",INDEX(Direction[Degree],MATCH(OverlapFirstFloor[[#This Row],[Direction]],Direction[Direction],0)),OverlapFirstFloor[[#This Row],[Custom Angular Direction]]),"")</f>
        <v/>
      </c>
      <c r="R37" s="48">
        <f>IFERROR(IF(COS(RADIANS(OverlapFirstFloor[[#This Row],[Angular Direction]]))*OverlapFirstFloor[[#This Row],[Unit Change]]=0,R36,R36+COS(RADIANS(OverlapFirstFloor[[#This Row],[Angular Direction]]))*OverlapFirstFloor[[#This Row],[Unit Change]]),$R$35)</f>
        <v>0</v>
      </c>
      <c r="S37" s="48">
        <f>IFERROR(IF(SIN(RADIANS(OverlapFirstFloor[[#This Row],[Angular Direction]]))*OverlapFirstFloor[[#This Row],[Unit Change]]=0,S36,S36+SIN(RADIANS(OverlapFirstFloor[[#This Row],[Angular Direction]]))*OverlapFirstFloor[[#This Row],[Unit Change]]),$S$35)</f>
        <v>0</v>
      </c>
      <c r="T37" s="48">
        <f>R36*OverlapFirstFloor[[#This Row],[Y-Axis]]-S36*OverlapFirstFloor[[#This Row],[X-Axis]]</f>
        <v>0</v>
      </c>
    </row>
    <row r="38" spans="1:20" x14ac:dyDescent="0.45">
      <c r="A38" s="37">
        <v>3</v>
      </c>
      <c r="B38" s="34">
        <v>15</v>
      </c>
      <c r="C38" s="35" t="s">
        <v>4</v>
      </c>
      <c r="D38" s="34"/>
      <c r="E38" s="34" t="s">
        <v>168</v>
      </c>
      <c r="F38" s="37">
        <f>FirstFloor[[#This Row],[Unit Change]]+$B$33*2</f>
        <v>15</v>
      </c>
      <c r="G38" s="37">
        <f>_xlfn.IFNA(IF(FirstFloor[[#This Row],[Custom Angular Direction]]="",INDEX(Direction[Degree],MATCH(FirstFloor[[#This Row],[Direction]],Direction[Direction],0)),FirstFloor[[#This Row],[Custom Angular Direction]]),"")</f>
        <v>0</v>
      </c>
      <c r="H38" s="48">
        <f>IFERROR(IF(COS(RADIANS(FirstFloor[[#This Row],[Angular Direction]]))*FirstFloor[[#This Row],[Unit Change]]=0,H37,H37+COS(RADIANS(FirstFloor[[#This Row],[Angular Direction]]))*FirstFloor[[#This Row],[Unit Change]]),$H$35)</f>
        <v>30</v>
      </c>
      <c r="I38" s="48">
        <f>IFERROR(IF(SIN(RADIANS(FirstFloor[[#This Row],[Angular Direction]]))*FirstFloor[[#This Row],[Unit Change]]=0,I37,I37+SIN(RADIANS(FirstFloor[[#This Row],[Angular Direction]]))*FirstFloor[[#This Row],[Unit Change]]),$I$35)</f>
        <v>5</v>
      </c>
      <c r="J38" s="48">
        <f>H37*FirstFloor[[#This Row],[Y-Axis]]-I37*FirstFloor[[#This Row],[X-Axis]]</f>
        <v>-75</v>
      </c>
      <c r="L38" s="37">
        <v>3</v>
      </c>
      <c r="M38" s="34"/>
      <c r="N38" s="35"/>
      <c r="O38" s="55"/>
      <c r="P38" s="37">
        <f>OverlapFirstFloor[[#This Row],[Unit Change]]+$B$33*2</f>
        <v>0</v>
      </c>
      <c r="Q38" s="37" t="str">
        <f>_xlfn.IFNA(IF(OverlapFirstFloor[[#This Row],[Custom Angular Direction]]="",INDEX(Direction[Degree],MATCH(OverlapFirstFloor[[#This Row],[Direction]],Direction[Direction],0)),OverlapFirstFloor[[#This Row],[Custom Angular Direction]]),"")</f>
        <v/>
      </c>
      <c r="R38" s="48">
        <f>IFERROR(IF(COS(RADIANS(OverlapFirstFloor[[#This Row],[Angular Direction]]))*OverlapFirstFloor[[#This Row],[Unit Change]]=0,R37,R37+COS(RADIANS(OverlapFirstFloor[[#This Row],[Angular Direction]]))*OverlapFirstFloor[[#This Row],[Unit Change]]),$R$35)</f>
        <v>0</v>
      </c>
      <c r="S38" s="48">
        <f>IFERROR(IF(SIN(RADIANS(OverlapFirstFloor[[#This Row],[Angular Direction]]))*OverlapFirstFloor[[#This Row],[Unit Change]]=0,S37,S37+SIN(RADIANS(OverlapFirstFloor[[#This Row],[Angular Direction]]))*OverlapFirstFloor[[#This Row],[Unit Change]]),$S$35)</f>
        <v>0</v>
      </c>
      <c r="T38" s="48">
        <f>R37*OverlapFirstFloor[[#This Row],[Y-Axis]]-S37*OverlapFirstFloor[[#This Row],[X-Axis]]</f>
        <v>0</v>
      </c>
    </row>
    <row r="39" spans="1:20" x14ac:dyDescent="0.45">
      <c r="A39" s="37">
        <v>4</v>
      </c>
      <c r="B39" s="34">
        <v>5</v>
      </c>
      <c r="C39" s="35" t="s">
        <v>2</v>
      </c>
      <c r="D39" s="34"/>
      <c r="E39" s="34" t="s">
        <v>168</v>
      </c>
      <c r="F39" s="37">
        <f>FirstFloor[[#This Row],[Unit Change]]+$B$33*2</f>
        <v>5</v>
      </c>
      <c r="G39" s="37">
        <f>_xlfn.IFNA(IF(FirstFloor[[#This Row],[Custom Angular Direction]]="",INDEX(Direction[Degree],MATCH(FirstFloor[[#This Row],[Direction]],Direction[Direction],0)),FirstFloor[[#This Row],[Custom Angular Direction]]),"")</f>
        <v>270</v>
      </c>
      <c r="H39" s="48">
        <f>IFERROR(IF(COS(RADIANS(FirstFloor[[#This Row],[Angular Direction]]))*FirstFloor[[#This Row],[Unit Change]]=0,H38,H38+COS(RADIANS(FirstFloor[[#This Row],[Angular Direction]]))*FirstFloor[[#This Row],[Unit Change]]),$H$35)</f>
        <v>30</v>
      </c>
      <c r="I39" s="48">
        <f>IFERROR(IF(SIN(RADIANS(FirstFloor[[#This Row],[Angular Direction]]))*FirstFloor[[#This Row],[Unit Change]]=0,I38,I38+SIN(RADIANS(FirstFloor[[#This Row],[Angular Direction]]))*FirstFloor[[#This Row],[Unit Change]]),$I$35)</f>
        <v>0</v>
      </c>
      <c r="J39" s="48">
        <f>H38*FirstFloor[[#This Row],[Y-Axis]]-I38*FirstFloor[[#This Row],[X-Axis]]</f>
        <v>-150</v>
      </c>
      <c r="L39" s="37">
        <v>4</v>
      </c>
      <c r="M39" s="34"/>
      <c r="N39" s="35"/>
      <c r="O39" s="55"/>
      <c r="P39" s="37">
        <f>OverlapFirstFloor[[#This Row],[Unit Change]]+$B$33*2</f>
        <v>0</v>
      </c>
      <c r="Q39" s="37" t="str">
        <f>_xlfn.IFNA(IF(OverlapFirstFloor[[#This Row],[Custom Angular Direction]]="",INDEX(Direction[Degree],MATCH(OverlapFirstFloor[[#This Row],[Direction]],Direction[Direction],0)),OverlapFirstFloor[[#This Row],[Custom Angular Direction]]),"")</f>
        <v/>
      </c>
      <c r="R39" s="48">
        <f>IFERROR(IF(COS(RADIANS(OverlapFirstFloor[[#This Row],[Angular Direction]]))*OverlapFirstFloor[[#This Row],[Unit Change]]=0,R38,R38+COS(RADIANS(OverlapFirstFloor[[#This Row],[Angular Direction]]))*OverlapFirstFloor[[#This Row],[Unit Change]]),$R$35)</f>
        <v>0</v>
      </c>
      <c r="S39" s="48">
        <f>IFERROR(IF(SIN(RADIANS(OverlapFirstFloor[[#This Row],[Angular Direction]]))*OverlapFirstFloor[[#This Row],[Unit Change]]=0,S38,S38+SIN(RADIANS(OverlapFirstFloor[[#This Row],[Angular Direction]]))*OverlapFirstFloor[[#This Row],[Unit Change]]),$S$35)</f>
        <v>0</v>
      </c>
      <c r="T39" s="48">
        <f>R38*OverlapFirstFloor[[#This Row],[Y-Axis]]-S38*OverlapFirstFloor[[#This Row],[X-Axis]]</f>
        <v>0</v>
      </c>
    </row>
    <row r="40" spans="1:20" x14ac:dyDescent="0.45">
      <c r="A40" s="37">
        <v>5</v>
      </c>
      <c r="B40" s="34">
        <v>10</v>
      </c>
      <c r="C40" s="35" t="s">
        <v>4</v>
      </c>
      <c r="D40" s="34"/>
      <c r="E40" s="34" t="s">
        <v>168</v>
      </c>
      <c r="F40" s="37">
        <f>FirstFloor[[#This Row],[Unit Change]]+$B$33*2</f>
        <v>10</v>
      </c>
      <c r="G40" s="37">
        <f>_xlfn.IFNA(IF(FirstFloor[[#This Row],[Custom Angular Direction]]="",INDEX(Direction[Degree],MATCH(FirstFloor[[#This Row],[Direction]],Direction[Direction],0)),FirstFloor[[#This Row],[Custom Angular Direction]]),"")</f>
        <v>0</v>
      </c>
      <c r="H40" s="48">
        <f>IFERROR(IF(COS(RADIANS(FirstFloor[[#This Row],[Angular Direction]]))*FirstFloor[[#This Row],[Unit Change]]=0,H39,H39+COS(RADIANS(FirstFloor[[#This Row],[Angular Direction]]))*FirstFloor[[#This Row],[Unit Change]]),$H$35)</f>
        <v>40</v>
      </c>
      <c r="I40" s="48">
        <f>IFERROR(IF(SIN(RADIANS(FirstFloor[[#This Row],[Angular Direction]]))*FirstFloor[[#This Row],[Unit Change]]=0,I39,I39+SIN(RADIANS(FirstFloor[[#This Row],[Angular Direction]]))*FirstFloor[[#This Row],[Unit Change]]),$I$35)</f>
        <v>0</v>
      </c>
      <c r="J40" s="48">
        <f>H39*FirstFloor[[#This Row],[Y-Axis]]-I39*FirstFloor[[#This Row],[X-Axis]]</f>
        <v>0</v>
      </c>
      <c r="L40" s="37">
        <v>5</v>
      </c>
      <c r="M40" s="34"/>
      <c r="N40" s="35"/>
      <c r="O40" s="55"/>
      <c r="P40" s="37">
        <f>OverlapFirstFloor[[#This Row],[Unit Change]]+$B$33*2</f>
        <v>0</v>
      </c>
      <c r="Q40" s="37" t="str">
        <f>_xlfn.IFNA(IF(OverlapFirstFloor[[#This Row],[Custom Angular Direction]]="",INDEX(Direction[Degree],MATCH(OverlapFirstFloor[[#This Row],[Direction]],Direction[Direction],0)),OverlapFirstFloor[[#This Row],[Custom Angular Direction]]),"")</f>
        <v/>
      </c>
      <c r="R40" s="48">
        <f>IFERROR(IF(COS(RADIANS(OverlapFirstFloor[[#This Row],[Angular Direction]]))*OverlapFirstFloor[[#This Row],[Unit Change]]=0,R39,R39+COS(RADIANS(OverlapFirstFloor[[#This Row],[Angular Direction]]))*OverlapFirstFloor[[#This Row],[Unit Change]]),$R$35)</f>
        <v>0</v>
      </c>
      <c r="S40" s="48">
        <f>IFERROR(IF(SIN(RADIANS(OverlapFirstFloor[[#This Row],[Angular Direction]]))*OverlapFirstFloor[[#This Row],[Unit Change]]=0,S39,S39+SIN(RADIANS(OverlapFirstFloor[[#This Row],[Angular Direction]]))*OverlapFirstFloor[[#This Row],[Unit Change]]),$S$35)</f>
        <v>0</v>
      </c>
      <c r="T40" s="48">
        <f>R39*OverlapFirstFloor[[#This Row],[Y-Axis]]-S39*OverlapFirstFloor[[#This Row],[X-Axis]]</f>
        <v>0</v>
      </c>
    </row>
    <row r="41" spans="1:20" x14ac:dyDescent="0.45">
      <c r="A41" s="37">
        <v>6</v>
      </c>
      <c r="B41" s="34">
        <v>15</v>
      </c>
      <c r="C41" s="35" t="s">
        <v>2</v>
      </c>
      <c r="D41" s="34"/>
      <c r="E41" s="34" t="s">
        <v>168</v>
      </c>
      <c r="F41" s="37">
        <f>FirstFloor[[#This Row],[Unit Change]]+$B$33*2</f>
        <v>15</v>
      </c>
      <c r="G41" s="37">
        <f>_xlfn.IFNA(IF(FirstFloor[[#This Row],[Custom Angular Direction]]="",INDEX(Direction[Degree],MATCH(FirstFloor[[#This Row],[Direction]],Direction[Direction],0)),FirstFloor[[#This Row],[Custom Angular Direction]]),"")</f>
        <v>270</v>
      </c>
      <c r="H41" s="48">
        <f>IFERROR(IF(COS(RADIANS(FirstFloor[[#This Row],[Angular Direction]]))*FirstFloor[[#This Row],[Unit Change]]=0,H40,H40+COS(RADIANS(FirstFloor[[#This Row],[Angular Direction]]))*FirstFloor[[#This Row],[Unit Change]]),$H$35)</f>
        <v>40</v>
      </c>
      <c r="I41" s="48">
        <f>IFERROR(IF(SIN(RADIANS(FirstFloor[[#This Row],[Angular Direction]]))*FirstFloor[[#This Row],[Unit Change]]=0,I40,I40+SIN(RADIANS(FirstFloor[[#This Row],[Angular Direction]]))*FirstFloor[[#This Row],[Unit Change]]),$I$35)</f>
        <v>-15</v>
      </c>
      <c r="J41" s="48">
        <f>H40*FirstFloor[[#This Row],[Y-Axis]]-I40*FirstFloor[[#This Row],[X-Axis]]</f>
        <v>-600</v>
      </c>
      <c r="L41" s="37">
        <v>6</v>
      </c>
      <c r="M41" s="34"/>
      <c r="N41" s="35"/>
      <c r="O41" s="55"/>
      <c r="P41" s="37">
        <f>OverlapFirstFloor[[#This Row],[Unit Change]]+$B$33*2</f>
        <v>0</v>
      </c>
      <c r="Q41" s="37" t="str">
        <f>_xlfn.IFNA(IF(OverlapFirstFloor[[#This Row],[Custom Angular Direction]]="",INDEX(Direction[Degree],MATCH(OverlapFirstFloor[[#This Row],[Direction]],Direction[Direction],0)),OverlapFirstFloor[[#This Row],[Custom Angular Direction]]),"")</f>
        <v/>
      </c>
      <c r="R41" s="48">
        <f>IFERROR(IF(COS(RADIANS(OverlapFirstFloor[[#This Row],[Angular Direction]]))*OverlapFirstFloor[[#This Row],[Unit Change]]=0,R40,R40+COS(RADIANS(OverlapFirstFloor[[#This Row],[Angular Direction]]))*OverlapFirstFloor[[#This Row],[Unit Change]]),$R$35)</f>
        <v>0</v>
      </c>
      <c r="S41" s="48">
        <f>IFERROR(IF(SIN(RADIANS(OverlapFirstFloor[[#This Row],[Angular Direction]]))*OverlapFirstFloor[[#This Row],[Unit Change]]=0,S40,S40+SIN(RADIANS(OverlapFirstFloor[[#This Row],[Angular Direction]]))*OverlapFirstFloor[[#This Row],[Unit Change]]),$S$35)</f>
        <v>0</v>
      </c>
      <c r="T41" s="48">
        <f>R40*OverlapFirstFloor[[#This Row],[Y-Axis]]-S40*OverlapFirstFloor[[#This Row],[X-Axis]]</f>
        <v>0</v>
      </c>
    </row>
    <row r="42" spans="1:20" x14ac:dyDescent="0.45">
      <c r="A42" s="37">
        <v>7</v>
      </c>
      <c r="B42" s="34">
        <v>20</v>
      </c>
      <c r="C42" s="35" t="s">
        <v>3</v>
      </c>
      <c r="D42" s="34"/>
      <c r="E42" s="34" t="s">
        <v>150</v>
      </c>
      <c r="F42" s="37">
        <f>FirstFloor[[#This Row],[Unit Change]]+$B$33*2</f>
        <v>20</v>
      </c>
      <c r="G42" s="37">
        <f>_xlfn.IFNA(IF(FirstFloor[[#This Row],[Custom Angular Direction]]="",INDEX(Direction[Degree],MATCH(FirstFloor[[#This Row],[Direction]],Direction[Direction],0)),FirstFloor[[#This Row],[Custom Angular Direction]]),"")</f>
        <v>180</v>
      </c>
      <c r="H42" s="48">
        <f>IFERROR(IF(COS(RADIANS(FirstFloor[[#This Row],[Angular Direction]]))*FirstFloor[[#This Row],[Unit Change]]=0,H41,H41+COS(RADIANS(FirstFloor[[#This Row],[Angular Direction]]))*FirstFloor[[#This Row],[Unit Change]]),$H$35)</f>
        <v>20</v>
      </c>
      <c r="I42" s="48">
        <f>IFERROR(IF(SIN(RADIANS(FirstFloor[[#This Row],[Angular Direction]]))*FirstFloor[[#This Row],[Unit Change]]=0,I41,I41+SIN(RADIANS(FirstFloor[[#This Row],[Angular Direction]]))*FirstFloor[[#This Row],[Unit Change]]),$I$35)</f>
        <v>-14.999999999999998</v>
      </c>
      <c r="J42" s="48">
        <f>H41*FirstFloor[[#This Row],[Y-Axis]]-I41*FirstFloor[[#This Row],[X-Axis]]</f>
        <v>-299.99999999999989</v>
      </c>
      <c r="L42" s="37">
        <v>7</v>
      </c>
      <c r="M42" s="34"/>
      <c r="N42" s="35"/>
      <c r="O42" s="55"/>
      <c r="P42" s="37">
        <f>OverlapFirstFloor[[#This Row],[Unit Change]]+$B$33*2</f>
        <v>0</v>
      </c>
      <c r="Q42" s="37" t="str">
        <f>_xlfn.IFNA(IF(OverlapFirstFloor[[#This Row],[Custom Angular Direction]]="",INDEX(Direction[Degree],MATCH(OverlapFirstFloor[[#This Row],[Direction]],Direction[Direction],0)),OverlapFirstFloor[[#This Row],[Custom Angular Direction]]),"")</f>
        <v/>
      </c>
      <c r="R42" s="48">
        <f>IFERROR(IF(COS(RADIANS(OverlapFirstFloor[[#This Row],[Angular Direction]]))*OverlapFirstFloor[[#This Row],[Unit Change]]=0,R41,R41+COS(RADIANS(OverlapFirstFloor[[#This Row],[Angular Direction]]))*OverlapFirstFloor[[#This Row],[Unit Change]]),$R$35)</f>
        <v>0</v>
      </c>
      <c r="S42" s="48">
        <f>IFERROR(IF(SIN(RADIANS(OverlapFirstFloor[[#This Row],[Angular Direction]]))*OverlapFirstFloor[[#This Row],[Unit Change]]=0,S41,S41+SIN(RADIANS(OverlapFirstFloor[[#This Row],[Angular Direction]]))*OverlapFirstFloor[[#This Row],[Unit Change]]),$S$35)</f>
        <v>0</v>
      </c>
      <c r="T42" s="48">
        <f>R41*OverlapFirstFloor[[#This Row],[Y-Axis]]-S41*OverlapFirstFloor[[#This Row],[X-Axis]]</f>
        <v>0</v>
      </c>
    </row>
    <row r="43" spans="1:20" x14ac:dyDescent="0.45">
      <c r="A43" s="37">
        <v>8</v>
      </c>
      <c r="B43" s="34">
        <v>17</v>
      </c>
      <c r="C43" s="35" t="s">
        <v>2</v>
      </c>
      <c r="D43" s="34"/>
      <c r="E43" s="34" t="s">
        <v>150</v>
      </c>
      <c r="F43" s="37">
        <f>FirstFloor[[#This Row],[Unit Change]]+$B$33*2</f>
        <v>17</v>
      </c>
      <c r="G43" s="37">
        <f>_xlfn.IFNA(IF(FirstFloor[[#This Row],[Custom Angular Direction]]="",INDEX(Direction[Degree],MATCH(FirstFloor[[#This Row],[Direction]],Direction[Direction],0)),FirstFloor[[#This Row],[Custom Angular Direction]]),"")</f>
        <v>270</v>
      </c>
      <c r="H43" s="48">
        <f>IFERROR(IF(COS(RADIANS(FirstFloor[[#This Row],[Angular Direction]]))*FirstFloor[[#This Row],[Unit Change]]=0,H42,H42+COS(RADIANS(FirstFloor[[#This Row],[Angular Direction]]))*FirstFloor[[#This Row],[Unit Change]]),$H$35)</f>
        <v>19.999999999999996</v>
      </c>
      <c r="I43" s="48">
        <f>IFERROR(IF(SIN(RADIANS(FirstFloor[[#This Row],[Angular Direction]]))*FirstFloor[[#This Row],[Unit Change]]=0,I42,I42+SIN(RADIANS(FirstFloor[[#This Row],[Angular Direction]]))*FirstFloor[[#This Row],[Unit Change]]),$I$35)</f>
        <v>-32</v>
      </c>
      <c r="J43" s="48">
        <f>H42*FirstFloor[[#This Row],[Y-Axis]]-I42*FirstFloor[[#This Row],[X-Axis]]</f>
        <v>-340.00000000000011</v>
      </c>
      <c r="L43" s="37">
        <v>8</v>
      </c>
      <c r="M43" s="34"/>
      <c r="N43" s="35"/>
      <c r="O43" s="55"/>
      <c r="P43" s="37">
        <f>OverlapFirstFloor[[#This Row],[Unit Change]]+$B$33*2</f>
        <v>0</v>
      </c>
      <c r="Q43" s="37" t="str">
        <f>_xlfn.IFNA(IF(OverlapFirstFloor[[#This Row],[Custom Angular Direction]]="",INDEX(Direction[Degree],MATCH(OverlapFirstFloor[[#This Row],[Direction]],Direction[Direction],0)),OverlapFirstFloor[[#This Row],[Custom Angular Direction]]),"")</f>
        <v/>
      </c>
      <c r="R43" s="48">
        <f>IFERROR(IF(COS(RADIANS(OverlapFirstFloor[[#This Row],[Angular Direction]]))*OverlapFirstFloor[[#This Row],[Unit Change]]=0,R42,R42+COS(RADIANS(OverlapFirstFloor[[#This Row],[Angular Direction]]))*OverlapFirstFloor[[#This Row],[Unit Change]]),$R$35)</f>
        <v>0</v>
      </c>
      <c r="S43" s="48">
        <f>IFERROR(IF(SIN(RADIANS(OverlapFirstFloor[[#This Row],[Angular Direction]]))*OverlapFirstFloor[[#This Row],[Unit Change]]=0,S42,S42+SIN(RADIANS(OverlapFirstFloor[[#This Row],[Angular Direction]]))*OverlapFirstFloor[[#This Row],[Unit Change]]),$S$35)</f>
        <v>0</v>
      </c>
      <c r="T43" s="48">
        <f>R42*OverlapFirstFloor[[#This Row],[Y-Axis]]-S42*OverlapFirstFloor[[#This Row],[X-Axis]]</f>
        <v>0</v>
      </c>
    </row>
    <row r="44" spans="1:20" x14ac:dyDescent="0.45">
      <c r="A44" s="37">
        <v>9</v>
      </c>
      <c r="B44" s="34">
        <v>5</v>
      </c>
      <c r="C44" s="35" t="s">
        <v>3</v>
      </c>
      <c r="D44" s="34"/>
      <c r="E44" s="34" t="s">
        <v>168</v>
      </c>
      <c r="F44" s="37">
        <f>FirstFloor[[#This Row],[Unit Change]]+$B$33*2</f>
        <v>5</v>
      </c>
      <c r="G44" s="37">
        <f>_xlfn.IFNA(IF(FirstFloor[[#This Row],[Custom Angular Direction]]="",INDEX(Direction[Degree],MATCH(FirstFloor[[#This Row],[Direction]],Direction[Direction],0)),FirstFloor[[#This Row],[Custom Angular Direction]]),"")</f>
        <v>180</v>
      </c>
      <c r="H44" s="48">
        <f>IFERROR(IF(COS(RADIANS(FirstFloor[[#This Row],[Angular Direction]]))*FirstFloor[[#This Row],[Unit Change]]=0,H43,H43+COS(RADIANS(FirstFloor[[#This Row],[Angular Direction]]))*FirstFloor[[#This Row],[Unit Change]]),$H$35)</f>
        <v>14.999999999999996</v>
      </c>
      <c r="I44" s="48">
        <f>IFERROR(IF(SIN(RADIANS(FirstFloor[[#This Row],[Angular Direction]]))*FirstFloor[[#This Row],[Unit Change]]=0,I43,I43+SIN(RADIANS(FirstFloor[[#This Row],[Angular Direction]]))*FirstFloor[[#This Row],[Unit Change]]),$I$35)</f>
        <v>-32</v>
      </c>
      <c r="J44" s="48">
        <f>H43*FirstFloor[[#This Row],[Y-Axis]]-I43*FirstFloor[[#This Row],[X-Axis]]</f>
        <v>-160</v>
      </c>
      <c r="L44" s="37">
        <v>9</v>
      </c>
      <c r="M44" s="34"/>
      <c r="N44" s="35"/>
      <c r="O44" s="55"/>
      <c r="P44" s="37">
        <f>OverlapFirstFloor[[#This Row],[Unit Change]]+$B$33*2</f>
        <v>0</v>
      </c>
      <c r="Q44" s="37" t="str">
        <f>_xlfn.IFNA(IF(OverlapFirstFloor[[#This Row],[Custom Angular Direction]]="",INDEX(Direction[Degree],MATCH(OverlapFirstFloor[[#This Row],[Direction]],Direction[Direction],0)),OverlapFirstFloor[[#This Row],[Custom Angular Direction]]),"")</f>
        <v/>
      </c>
      <c r="R44" s="48">
        <f>IFERROR(IF(COS(RADIANS(OverlapFirstFloor[[#This Row],[Angular Direction]]))*OverlapFirstFloor[[#This Row],[Unit Change]]=0,R43,R43+COS(RADIANS(OverlapFirstFloor[[#This Row],[Angular Direction]]))*OverlapFirstFloor[[#This Row],[Unit Change]]),$R$35)</f>
        <v>0</v>
      </c>
      <c r="S44" s="48">
        <f>IFERROR(IF(SIN(RADIANS(OverlapFirstFloor[[#This Row],[Angular Direction]]))*OverlapFirstFloor[[#This Row],[Unit Change]]=0,S43,S43+SIN(RADIANS(OverlapFirstFloor[[#This Row],[Angular Direction]]))*OverlapFirstFloor[[#This Row],[Unit Change]]),$S$35)</f>
        <v>0</v>
      </c>
      <c r="T44" s="48">
        <f>R43*OverlapFirstFloor[[#This Row],[Y-Axis]]-S43*OverlapFirstFloor[[#This Row],[X-Axis]]</f>
        <v>0</v>
      </c>
    </row>
    <row r="45" spans="1:20" x14ac:dyDescent="0.45">
      <c r="A45" s="37">
        <v>10</v>
      </c>
      <c r="B45" s="34">
        <v>3</v>
      </c>
      <c r="C45" s="35" t="s">
        <v>2</v>
      </c>
      <c r="D45" s="34"/>
      <c r="E45" s="34" t="s">
        <v>168</v>
      </c>
      <c r="F45" s="37">
        <f>FirstFloor[[#This Row],[Unit Change]]+$B$33*2</f>
        <v>3</v>
      </c>
      <c r="G45" s="37">
        <f>_xlfn.IFNA(IF(FirstFloor[[#This Row],[Custom Angular Direction]]="",INDEX(Direction[Degree],MATCH(FirstFloor[[#This Row],[Direction]],Direction[Direction],0)),FirstFloor[[#This Row],[Custom Angular Direction]]),"")</f>
        <v>270</v>
      </c>
      <c r="H45" s="48">
        <f>IFERROR(IF(COS(RADIANS(FirstFloor[[#This Row],[Angular Direction]]))*FirstFloor[[#This Row],[Unit Change]]=0,H44,H44+COS(RADIANS(FirstFloor[[#This Row],[Angular Direction]]))*FirstFloor[[#This Row],[Unit Change]]),$H$35)</f>
        <v>14.999999999999996</v>
      </c>
      <c r="I45" s="48">
        <f>IFERROR(IF(SIN(RADIANS(FirstFloor[[#This Row],[Angular Direction]]))*FirstFloor[[#This Row],[Unit Change]]=0,I44,I44+SIN(RADIANS(FirstFloor[[#This Row],[Angular Direction]]))*FirstFloor[[#This Row],[Unit Change]]),$I$35)</f>
        <v>-35</v>
      </c>
      <c r="J45" s="48">
        <f>H44*FirstFloor[[#This Row],[Y-Axis]]-I44*FirstFloor[[#This Row],[X-Axis]]</f>
        <v>-45</v>
      </c>
      <c r="L45" s="37">
        <v>10</v>
      </c>
      <c r="M45" s="34"/>
      <c r="N45" s="35"/>
      <c r="O45" s="55"/>
      <c r="P45" s="37">
        <f>OverlapFirstFloor[[#This Row],[Unit Change]]+$B$33*2</f>
        <v>0</v>
      </c>
      <c r="Q45" s="37" t="str">
        <f>_xlfn.IFNA(IF(OverlapFirstFloor[[#This Row],[Custom Angular Direction]]="",INDEX(Direction[Degree],MATCH(OverlapFirstFloor[[#This Row],[Direction]],Direction[Direction],0)),OverlapFirstFloor[[#This Row],[Custom Angular Direction]]),"")</f>
        <v/>
      </c>
      <c r="R45" s="48">
        <f>IFERROR(IF(COS(RADIANS(OverlapFirstFloor[[#This Row],[Angular Direction]]))*OverlapFirstFloor[[#This Row],[Unit Change]]=0,R44,R44+COS(RADIANS(OverlapFirstFloor[[#This Row],[Angular Direction]]))*OverlapFirstFloor[[#This Row],[Unit Change]]),$R$35)</f>
        <v>0</v>
      </c>
      <c r="S45" s="48">
        <f>IFERROR(IF(SIN(RADIANS(OverlapFirstFloor[[#This Row],[Angular Direction]]))*OverlapFirstFloor[[#This Row],[Unit Change]]=0,S44,S44+SIN(RADIANS(OverlapFirstFloor[[#This Row],[Angular Direction]]))*OverlapFirstFloor[[#This Row],[Unit Change]]),$S$35)</f>
        <v>0</v>
      </c>
      <c r="T45" s="48">
        <f>R44*OverlapFirstFloor[[#This Row],[Y-Axis]]-S44*OverlapFirstFloor[[#This Row],[X-Axis]]</f>
        <v>0</v>
      </c>
    </row>
    <row r="46" spans="1:20" x14ac:dyDescent="0.45">
      <c r="A46" s="37">
        <v>11</v>
      </c>
      <c r="B46" s="34">
        <v>15</v>
      </c>
      <c r="C46" s="35" t="s">
        <v>3</v>
      </c>
      <c r="D46" s="34"/>
      <c r="E46" s="34" t="s">
        <v>168</v>
      </c>
      <c r="F46" s="37">
        <f>FirstFloor[[#This Row],[Unit Change]]+$B$33*2</f>
        <v>15</v>
      </c>
      <c r="G46" s="37">
        <f>_xlfn.IFNA(IF(FirstFloor[[#This Row],[Custom Angular Direction]]="",INDEX(Direction[Degree],MATCH(FirstFloor[[#This Row],[Direction]],Direction[Direction],0)),FirstFloor[[#This Row],[Custom Angular Direction]]),"")</f>
        <v>180</v>
      </c>
      <c r="H46" s="48">
        <f>IFERROR(IF(COS(RADIANS(FirstFloor[[#This Row],[Angular Direction]]))*FirstFloor[[#This Row],[Unit Change]]=0,H45,H45+COS(RADIANS(FirstFloor[[#This Row],[Angular Direction]]))*FirstFloor[[#This Row],[Unit Change]]),$H$35)</f>
        <v>-3.5527136788005009E-15</v>
      </c>
      <c r="I46" s="48">
        <f>IFERROR(IF(SIN(RADIANS(FirstFloor[[#This Row],[Angular Direction]]))*FirstFloor[[#This Row],[Unit Change]]=0,I45,I45+SIN(RADIANS(FirstFloor[[#This Row],[Angular Direction]]))*FirstFloor[[#This Row],[Unit Change]]),$I$35)</f>
        <v>-35</v>
      </c>
      <c r="J46" s="48">
        <f>H45*FirstFloor[[#This Row],[Y-Axis]]-I45*FirstFloor[[#This Row],[X-Axis]]</f>
        <v>-525</v>
      </c>
      <c r="L46" s="37">
        <v>11</v>
      </c>
      <c r="M46" s="34"/>
      <c r="N46" s="35"/>
      <c r="O46" s="55"/>
      <c r="P46" s="37">
        <f>OverlapFirstFloor[[#This Row],[Unit Change]]+$B$33*2</f>
        <v>0</v>
      </c>
      <c r="Q46" s="37" t="str">
        <f>_xlfn.IFNA(IF(OverlapFirstFloor[[#This Row],[Custom Angular Direction]]="",INDEX(Direction[Degree],MATCH(OverlapFirstFloor[[#This Row],[Direction]],Direction[Direction],0)),OverlapFirstFloor[[#This Row],[Custom Angular Direction]]),"")</f>
        <v/>
      </c>
      <c r="R46" s="48">
        <f>IFERROR(IF(COS(RADIANS(OverlapFirstFloor[[#This Row],[Angular Direction]]))*OverlapFirstFloor[[#This Row],[Unit Change]]=0,R45,R45+COS(RADIANS(OverlapFirstFloor[[#This Row],[Angular Direction]]))*OverlapFirstFloor[[#This Row],[Unit Change]]),$R$35)</f>
        <v>0</v>
      </c>
      <c r="S46" s="48">
        <f>IFERROR(IF(SIN(RADIANS(OverlapFirstFloor[[#This Row],[Angular Direction]]))*OverlapFirstFloor[[#This Row],[Unit Change]]=0,S45,S45+SIN(RADIANS(OverlapFirstFloor[[#This Row],[Angular Direction]]))*OverlapFirstFloor[[#This Row],[Unit Change]]),$S$35)</f>
        <v>0</v>
      </c>
      <c r="T46" s="48">
        <f>R45*OverlapFirstFloor[[#This Row],[Y-Axis]]-S45*OverlapFirstFloor[[#This Row],[X-Axis]]</f>
        <v>0</v>
      </c>
    </row>
    <row r="47" spans="1:20" x14ac:dyDescent="0.45">
      <c r="A47" s="37">
        <v>12</v>
      </c>
      <c r="B47" s="34">
        <v>35</v>
      </c>
      <c r="C47" s="35" t="s">
        <v>1</v>
      </c>
      <c r="D47" s="34"/>
      <c r="E47" s="34" t="s">
        <v>168</v>
      </c>
      <c r="F47" s="37">
        <f>FirstFloor[[#This Row],[Unit Change]]+$B$33*2</f>
        <v>35</v>
      </c>
      <c r="G47" s="37">
        <f>_xlfn.IFNA(IF(FirstFloor[[#This Row],[Custom Angular Direction]]="",INDEX(Direction[Degree],MATCH(FirstFloor[[#This Row],[Direction]],Direction[Direction],0)),FirstFloor[[#This Row],[Custom Angular Direction]]),"")</f>
        <v>90</v>
      </c>
      <c r="H47" s="48">
        <f>IFERROR(IF(COS(RADIANS(FirstFloor[[#This Row],[Angular Direction]]))*FirstFloor[[#This Row],[Unit Change]]=0,H46,H46+COS(RADIANS(FirstFloor[[#This Row],[Angular Direction]]))*FirstFloor[[#This Row],[Unit Change]]),$H$35)</f>
        <v>-1.4087038827104159E-15</v>
      </c>
      <c r="I47" s="48">
        <f>IFERROR(IF(SIN(RADIANS(FirstFloor[[#This Row],[Angular Direction]]))*FirstFloor[[#This Row],[Unit Change]]=0,I46,I46+SIN(RADIANS(FirstFloor[[#This Row],[Angular Direction]]))*FirstFloor[[#This Row],[Unit Change]]),$I$35)</f>
        <v>0</v>
      </c>
      <c r="J47" s="48">
        <f>H46*FirstFloor[[#This Row],[Y-Axis]]-I46*FirstFloor[[#This Row],[X-Axis]]</f>
        <v>-4.9304635894864557E-14</v>
      </c>
      <c r="L47" s="37">
        <v>12</v>
      </c>
      <c r="M47" s="34"/>
      <c r="N47" s="35"/>
      <c r="O47" s="55"/>
      <c r="P47" s="37">
        <f>OverlapFirstFloor[[#This Row],[Unit Change]]+$B$33*2</f>
        <v>0</v>
      </c>
      <c r="Q47" s="37" t="str">
        <f>_xlfn.IFNA(IF(OverlapFirstFloor[[#This Row],[Custom Angular Direction]]="",INDEX(Direction[Degree],MATCH(OverlapFirstFloor[[#This Row],[Direction]],Direction[Direction],0)),OverlapFirstFloor[[#This Row],[Custom Angular Direction]]),"")</f>
        <v/>
      </c>
      <c r="R47" s="48">
        <f>IFERROR(IF(COS(RADIANS(OverlapFirstFloor[[#This Row],[Angular Direction]]))*OverlapFirstFloor[[#This Row],[Unit Change]]=0,R46,R46+COS(RADIANS(OverlapFirstFloor[[#This Row],[Angular Direction]]))*OverlapFirstFloor[[#This Row],[Unit Change]]),$R$35)</f>
        <v>0</v>
      </c>
      <c r="S47" s="48">
        <f>IFERROR(IF(SIN(RADIANS(OverlapFirstFloor[[#This Row],[Angular Direction]]))*OverlapFirstFloor[[#This Row],[Unit Change]]=0,S46,S46+SIN(RADIANS(OverlapFirstFloor[[#This Row],[Angular Direction]]))*OverlapFirstFloor[[#This Row],[Unit Change]]),$S$35)</f>
        <v>0</v>
      </c>
      <c r="T47" s="48">
        <f>R46*OverlapFirstFloor[[#This Row],[Y-Axis]]-S46*OverlapFirstFloor[[#This Row],[X-Axis]]</f>
        <v>0</v>
      </c>
    </row>
    <row r="48" spans="1:20" x14ac:dyDescent="0.45">
      <c r="A48" s="37">
        <v>13</v>
      </c>
      <c r="B48" s="34"/>
      <c r="C48" s="35"/>
      <c r="D48" s="34"/>
      <c r="E48" s="34"/>
      <c r="F48" s="37">
        <f>FirstFloor[[#This Row],[Unit Change]]+$B$33*2</f>
        <v>0</v>
      </c>
      <c r="G48" s="37" t="str">
        <f>_xlfn.IFNA(IF(FirstFloor[[#This Row],[Custom Angular Direction]]="",INDEX(Direction[Degree],MATCH(FirstFloor[[#This Row],[Direction]],Direction[Direction],0)),FirstFloor[[#This Row],[Custom Angular Direction]]),"")</f>
        <v/>
      </c>
      <c r="H48" s="48">
        <f>IFERROR(IF(COS(RADIANS(FirstFloor[[#This Row],[Angular Direction]]))*FirstFloor[[#This Row],[Unit Change]]=0,H47,H47+COS(RADIANS(FirstFloor[[#This Row],[Angular Direction]]))*FirstFloor[[#This Row],[Unit Change]]),$H$35)</f>
        <v>0</v>
      </c>
      <c r="I48" s="48">
        <f>IFERROR(IF(SIN(RADIANS(FirstFloor[[#This Row],[Angular Direction]]))*FirstFloor[[#This Row],[Unit Change]]=0,I47,I47+SIN(RADIANS(FirstFloor[[#This Row],[Angular Direction]]))*FirstFloor[[#This Row],[Unit Change]]),$I$35)</f>
        <v>0</v>
      </c>
      <c r="J48" s="48">
        <f>H47*FirstFloor[[#This Row],[Y-Axis]]-I47*FirstFloor[[#This Row],[X-Axis]]</f>
        <v>0</v>
      </c>
      <c r="L48" s="37">
        <v>13</v>
      </c>
      <c r="M48" s="34"/>
      <c r="N48" s="35"/>
      <c r="O48" s="55"/>
      <c r="P48" s="37">
        <f>OverlapFirstFloor[[#This Row],[Unit Change]]+$B$33*2</f>
        <v>0</v>
      </c>
      <c r="Q48" s="37" t="str">
        <f>_xlfn.IFNA(IF(OverlapFirstFloor[[#This Row],[Custom Angular Direction]]="",INDEX(Direction[Degree],MATCH(OverlapFirstFloor[[#This Row],[Direction]],Direction[Direction],0)),OverlapFirstFloor[[#This Row],[Custom Angular Direction]]),"")</f>
        <v/>
      </c>
      <c r="R48" s="48">
        <f>IFERROR(IF(COS(RADIANS(OverlapFirstFloor[[#This Row],[Angular Direction]]))*OverlapFirstFloor[[#This Row],[Unit Change]]=0,R47,R47+COS(RADIANS(OverlapFirstFloor[[#This Row],[Angular Direction]]))*OverlapFirstFloor[[#This Row],[Unit Change]]),$R$35)</f>
        <v>0</v>
      </c>
      <c r="S48" s="48">
        <f>IFERROR(IF(SIN(RADIANS(OverlapFirstFloor[[#This Row],[Angular Direction]]))*OverlapFirstFloor[[#This Row],[Unit Change]]=0,S47,S47+SIN(RADIANS(OverlapFirstFloor[[#This Row],[Angular Direction]]))*OverlapFirstFloor[[#This Row],[Unit Change]]),$S$35)</f>
        <v>0</v>
      </c>
      <c r="T48" s="48">
        <f>R47*OverlapFirstFloor[[#This Row],[Y-Axis]]-S47*OverlapFirstFloor[[#This Row],[X-Axis]]</f>
        <v>0</v>
      </c>
    </row>
    <row r="49" spans="1:20" x14ac:dyDescent="0.45">
      <c r="A49" s="37">
        <v>14</v>
      </c>
      <c r="B49" s="34"/>
      <c r="C49" s="35"/>
      <c r="D49" s="34"/>
      <c r="E49" s="34"/>
      <c r="F49" s="37">
        <f>FirstFloor[[#This Row],[Unit Change]]+$B$33*2</f>
        <v>0</v>
      </c>
      <c r="G49" s="37" t="str">
        <f>_xlfn.IFNA(IF(FirstFloor[[#This Row],[Custom Angular Direction]]="",INDEX(Direction[Degree],MATCH(FirstFloor[[#This Row],[Direction]],Direction[Direction],0)),FirstFloor[[#This Row],[Custom Angular Direction]]),"")</f>
        <v/>
      </c>
      <c r="H49" s="48">
        <f>IFERROR(IF(COS(RADIANS(FirstFloor[[#This Row],[Angular Direction]]))*FirstFloor[[#This Row],[Unit Change]]=0,H48,H48+COS(RADIANS(FirstFloor[[#This Row],[Angular Direction]]))*FirstFloor[[#This Row],[Unit Change]]),$H$35)</f>
        <v>0</v>
      </c>
      <c r="I49" s="48">
        <f>IFERROR(IF(SIN(RADIANS(FirstFloor[[#This Row],[Angular Direction]]))*FirstFloor[[#This Row],[Unit Change]]=0,I48,I48+SIN(RADIANS(FirstFloor[[#This Row],[Angular Direction]]))*FirstFloor[[#This Row],[Unit Change]]),$I$35)</f>
        <v>0</v>
      </c>
      <c r="J49" s="48">
        <f>H48*FirstFloor[[#This Row],[Y-Axis]]-I48*FirstFloor[[#This Row],[X-Axis]]</f>
        <v>0</v>
      </c>
      <c r="L49" s="37">
        <v>14</v>
      </c>
      <c r="M49" s="34"/>
      <c r="N49" s="35"/>
      <c r="O49" s="55"/>
      <c r="P49" s="37">
        <f>OverlapFirstFloor[[#This Row],[Unit Change]]+$B$33*2</f>
        <v>0</v>
      </c>
      <c r="Q49" s="37" t="str">
        <f>_xlfn.IFNA(IF(OverlapFirstFloor[[#This Row],[Custom Angular Direction]]="",INDEX(Direction[Degree],MATCH(OverlapFirstFloor[[#This Row],[Direction]],Direction[Direction],0)),OverlapFirstFloor[[#This Row],[Custom Angular Direction]]),"")</f>
        <v/>
      </c>
      <c r="R49" s="48">
        <f>IFERROR(IF(COS(RADIANS(OverlapFirstFloor[[#This Row],[Angular Direction]]))*OverlapFirstFloor[[#This Row],[Unit Change]]=0,R48,R48+COS(RADIANS(OverlapFirstFloor[[#This Row],[Angular Direction]]))*OverlapFirstFloor[[#This Row],[Unit Change]]),$R$35)</f>
        <v>0</v>
      </c>
      <c r="S49" s="48">
        <f>IFERROR(IF(SIN(RADIANS(OverlapFirstFloor[[#This Row],[Angular Direction]]))*OverlapFirstFloor[[#This Row],[Unit Change]]=0,S48,S48+SIN(RADIANS(OverlapFirstFloor[[#This Row],[Angular Direction]]))*OverlapFirstFloor[[#This Row],[Unit Change]]),$S$35)</f>
        <v>0</v>
      </c>
      <c r="T49" s="48">
        <f>R48*OverlapFirstFloor[[#This Row],[Y-Axis]]-S48*OverlapFirstFloor[[#This Row],[X-Axis]]</f>
        <v>0</v>
      </c>
    </row>
    <row r="50" spans="1:20" x14ac:dyDescent="0.45">
      <c r="A50" s="37">
        <v>15</v>
      </c>
      <c r="B50" s="34"/>
      <c r="C50" s="35"/>
      <c r="D50" s="34"/>
      <c r="E50" s="34"/>
      <c r="F50" s="37">
        <f>FirstFloor[[#This Row],[Unit Change]]+$B$33*2</f>
        <v>0</v>
      </c>
      <c r="G50" s="37" t="str">
        <f>_xlfn.IFNA(IF(FirstFloor[[#This Row],[Custom Angular Direction]]="",INDEX(Direction[Degree],MATCH(FirstFloor[[#This Row],[Direction]],Direction[Direction],0)),FirstFloor[[#This Row],[Custom Angular Direction]]),"")</f>
        <v/>
      </c>
      <c r="H50" s="48">
        <f>IFERROR(IF(COS(RADIANS(FirstFloor[[#This Row],[Angular Direction]]))*FirstFloor[[#This Row],[Unit Change]]=0,H49,H49+COS(RADIANS(FirstFloor[[#This Row],[Angular Direction]]))*FirstFloor[[#This Row],[Unit Change]]),$H$35)</f>
        <v>0</v>
      </c>
      <c r="I50" s="48">
        <f>IFERROR(IF(SIN(RADIANS(FirstFloor[[#This Row],[Angular Direction]]))*FirstFloor[[#This Row],[Unit Change]]=0,I49,I49+SIN(RADIANS(FirstFloor[[#This Row],[Angular Direction]]))*FirstFloor[[#This Row],[Unit Change]]),$I$35)</f>
        <v>0</v>
      </c>
      <c r="J50" s="48">
        <f>H49*FirstFloor[[#This Row],[Y-Axis]]-I49*FirstFloor[[#This Row],[X-Axis]]</f>
        <v>0</v>
      </c>
      <c r="L50" s="37">
        <v>15</v>
      </c>
      <c r="M50" s="34"/>
      <c r="N50" s="35"/>
      <c r="O50" s="55"/>
      <c r="P50" s="37">
        <f>OverlapFirstFloor[[#This Row],[Unit Change]]+$B$33*2</f>
        <v>0</v>
      </c>
      <c r="Q50" s="37" t="str">
        <f>_xlfn.IFNA(IF(OverlapFirstFloor[[#This Row],[Custom Angular Direction]]="",INDEX(Direction[Degree],MATCH(OverlapFirstFloor[[#This Row],[Direction]],Direction[Direction],0)),OverlapFirstFloor[[#This Row],[Custom Angular Direction]]),"")</f>
        <v/>
      </c>
      <c r="R50" s="48">
        <f>IFERROR(IF(COS(RADIANS(OverlapFirstFloor[[#This Row],[Angular Direction]]))*OverlapFirstFloor[[#This Row],[Unit Change]]=0,R49,R49+COS(RADIANS(OverlapFirstFloor[[#This Row],[Angular Direction]]))*OverlapFirstFloor[[#This Row],[Unit Change]]),$R$35)</f>
        <v>0</v>
      </c>
      <c r="S50" s="48">
        <f>IFERROR(IF(SIN(RADIANS(OverlapFirstFloor[[#This Row],[Angular Direction]]))*OverlapFirstFloor[[#This Row],[Unit Change]]=0,S49,S49+SIN(RADIANS(OverlapFirstFloor[[#This Row],[Angular Direction]]))*OverlapFirstFloor[[#This Row],[Unit Change]]),$S$35)</f>
        <v>0</v>
      </c>
      <c r="T50" s="48">
        <f>R49*OverlapFirstFloor[[#This Row],[Y-Axis]]-S49*OverlapFirstFloor[[#This Row],[X-Axis]]</f>
        <v>0</v>
      </c>
    </row>
    <row r="51" spans="1:20" x14ac:dyDescent="0.45">
      <c r="A51" s="37">
        <v>16</v>
      </c>
      <c r="B51" s="34"/>
      <c r="C51" s="35"/>
      <c r="D51" s="34"/>
      <c r="E51" s="34"/>
      <c r="F51" s="37">
        <f>FirstFloor[[#This Row],[Unit Change]]+$B$33*2</f>
        <v>0</v>
      </c>
      <c r="G51" s="37" t="str">
        <f>_xlfn.IFNA(IF(FirstFloor[[#This Row],[Custom Angular Direction]]="",INDEX(Direction[Degree],MATCH(FirstFloor[[#This Row],[Direction]],Direction[Direction],0)),FirstFloor[[#This Row],[Custom Angular Direction]]),"")</f>
        <v/>
      </c>
      <c r="H51" s="48">
        <f>IFERROR(IF(COS(RADIANS(FirstFloor[[#This Row],[Angular Direction]]))*FirstFloor[[#This Row],[Unit Change]]=0,H50,H50+COS(RADIANS(FirstFloor[[#This Row],[Angular Direction]]))*FirstFloor[[#This Row],[Unit Change]]),$H$35)</f>
        <v>0</v>
      </c>
      <c r="I51" s="48">
        <f>IFERROR(IF(SIN(RADIANS(FirstFloor[[#This Row],[Angular Direction]]))*FirstFloor[[#This Row],[Unit Change]]=0,I50,I50+SIN(RADIANS(FirstFloor[[#This Row],[Angular Direction]]))*FirstFloor[[#This Row],[Unit Change]]),$I$35)</f>
        <v>0</v>
      </c>
      <c r="J51" s="48">
        <f>H50*FirstFloor[[#This Row],[Y-Axis]]-I50*FirstFloor[[#This Row],[X-Axis]]</f>
        <v>0</v>
      </c>
      <c r="L51" s="37">
        <v>16</v>
      </c>
      <c r="M51" s="34"/>
      <c r="N51" s="35"/>
      <c r="O51" s="55"/>
      <c r="P51" s="37">
        <f>OverlapFirstFloor[[#This Row],[Unit Change]]+$B$33*2</f>
        <v>0</v>
      </c>
      <c r="Q51" s="37" t="str">
        <f>_xlfn.IFNA(IF(OverlapFirstFloor[[#This Row],[Custom Angular Direction]]="",INDEX(Direction[Degree],MATCH(OverlapFirstFloor[[#This Row],[Direction]],Direction[Direction],0)),OverlapFirstFloor[[#This Row],[Custom Angular Direction]]),"")</f>
        <v/>
      </c>
      <c r="R51" s="48">
        <f>IFERROR(IF(COS(RADIANS(OverlapFirstFloor[[#This Row],[Angular Direction]]))*OverlapFirstFloor[[#This Row],[Unit Change]]=0,R50,R50+COS(RADIANS(OverlapFirstFloor[[#This Row],[Angular Direction]]))*OverlapFirstFloor[[#This Row],[Unit Change]]),$R$35)</f>
        <v>0</v>
      </c>
      <c r="S51" s="48">
        <f>IFERROR(IF(SIN(RADIANS(OverlapFirstFloor[[#This Row],[Angular Direction]]))*OverlapFirstFloor[[#This Row],[Unit Change]]=0,S50,S50+SIN(RADIANS(OverlapFirstFloor[[#This Row],[Angular Direction]]))*OverlapFirstFloor[[#This Row],[Unit Change]]),$S$35)</f>
        <v>0</v>
      </c>
      <c r="T51" s="48">
        <f>R50*OverlapFirstFloor[[#This Row],[Y-Axis]]-S50*OverlapFirstFloor[[#This Row],[X-Axis]]</f>
        <v>0</v>
      </c>
    </row>
    <row r="52" spans="1:20" x14ac:dyDescent="0.45">
      <c r="A52" s="37">
        <v>17</v>
      </c>
      <c r="B52" s="34"/>
      <c r="C52" s="35"/>
      <c r="D52" s="34"/>
      <c r="E52" s="34"/>
      <c r="F52" s="37">
        <f>FirstFloor[[#This Row],[Unit Change]]+$B$33*2</f>
        <v>0</v>
      </c>
      <c r="G52" s="37" t="str">
        <f>_xlfn.IFNA(IF(FirstFloor[[#This Row],[Custom Angular Direction]]="",INDEX(Direction[Degree],MATCH(FirstFloor[[#This Row],[Direction]],Direction[Direction],0)),FirstFloor[[#This Row],[Custom Angular Direction]]),"")</f>
        <v/>
      </c>
      <c r="H52" s="48">
        <f>IFERROR(IF(COS(RADIANS(FirstFloor[[#This Row],[Angular Direction]]))*FirstFloor[[#This Row],[Unit Change]]=0,H51,H51+COS(RADIANS(FirstFloor[[#This Row],[Angular Direction]]))*FirstFloor[[#This Row],[Unit Change]]),$H$35)</f>
        <v>0</v>
      </c>
      <c r="I52" s="48">
        <f>IFERROR(IF(SIN(RADIANS(FirstFloor[[#This Row],[Angular Direction]]))*FirstFloor[[#This Row],[Unit Change]]=0,I51,I51+SIN(RADIANS(FirstFloor[[#This Row],[Angular Direction]]))*FirstFloor[[#This Row],[Unit Change]]),$I$35)</f>
        <v>0</v>
      </c>
      <c r="J52" s="48">
        <f>H51*FirstFloor[[#This Row],[Y-Axis]]-I51*FirstFloor[[#This Row],[X-Axis]]</f>
        <v>0</v>
      </c>
      <c r="L52" s="37">
        <v>17</v>
      </c>
      <c r="M52" s="34"/>
      <c r="N52" s="35"/>
      <c r="O52" s="55"/>
      <c r="P52" s="37">
        <f>OverlapFirstFloor[[#This Row],[Unit Change]]+$B$33*2</f>
        <v>0</v>
      </c>
      <c r="Q52" s="37" t="str">
        <f>_xlfn.IFNA(IF(OverlapFirstFloor[[#This Row],[Custom Angular Direction]]="",INDEX(Direction[Degree],MATCH(OverlapFirstFloor[[#This Row],[Direction]],Direction[Direction],0)),OverlapFirstFloor[[#This Row],[Custom Angular Direction]]),"")</f>
        <v/>
      </c>
      <c r="R52" s="48">
        <f>IFERROR(IF(COS(RADIANS(OverlapFirstFloor[[#This Row],[Angular Direction]]))*OverlapFirstFloor[[#This Row],[Unit Change]]=0,R51,R51+COS(RADIANS(OverlapFirstFloor[[#This Row],[Angular Direction]]))*OverlapFirstFloor[[#This Row],[Unit Change]]),$R$35)</f>
        <v>0</v>
      </c>
      <c r="S52" s="48">
        <f>IFERROR(IF(SIN(RADIANS(OverlapFirstFloor[[#This Row],[Angular Direction]]))*OverlapFirstFloor[[#This Row],[Unit Change]]=0,S51,S51+SIN(RADIANS(OverlapFirstFloor[[#This Row],[Angular Direction]]))*OverlapFirstFloor[[#This Row],[Unit Change]]),$S$35)</f>
        <v>0</v>
      </c>
      <c r="T52" s="48">
        <f>R51*OverlapFirstFloor[[#This Row],[Y-Axis]]-S51*OverlapFirstFloor[[#This Row],[X-Axis]]</f>
        <v>0</v>
      </c>
    </row>
    <row r="53" spans="1:20" x14ac:dyDescent="0.45">
      <c r="A53" s="37">
        <v>18</v>
      </c>
      <c r="B53" s="34"/>
      <c r="C53" s="35"/>
      <c r="D53" s="34"/>
      <c r="E53" s="34"/>
      <c r="F53" s="37">
        <f>FirstFloor[[#This Row],[Unit Change]]+$B$33*2</f>
        <v>0</v>
      </c>
      <c r="G53" s="37" t="str">
        <f>_xlfn.IFNA(IF(FirstFloor[[#This Row],[Custom Angular Direction]]="",INDEX(Direction[Degree],MATCH(FirstFloor[[#This Row],[Direction]],Direction[Direction],0)),FirstFloor[[#This Row],[Custom Angular Direction]]),"")</f>
        <v/>
      </c>
      <c r="H53" s="48">
        <f>IFERROR(IF(COS(RADIANS(FirstFloor[[#This Row],[Angular Direction]]))*FirstFloor[[#This Row],[Unit Change]]=0,H52,H52+COS(RADIANS(FirstFloor[[#This Row],[Angular Direction]]))*FirstFloor[[#This Row],[Unit Change]]),$H$35)</f>
        <v>0</v>
      </c>
      <c r="I53" s="48">
        <f>IFERROR(IF(SIN(RADIANS(FirstFloor[[#This Row],[Angular Direction]]))*FirstFloor[[#This Row],[Unit Change]]=0,I52,I52+SIN(RADIANS(FirstFloor[[#This Row],[Angular Direction]]))*FirstFloor[[#This Row],[Unit Change]]),$I$35)</f>
        <v>0</v>
      </c>
      <c r="J53" s="48">
        <f>H52*FirstFloor[[#This Row],[Y-Axis]]-I52*FirstFloor[[#This Row],[X-Axis]]</f>
        <v>0</v>
      </c>
      <c r="L53" s="37">
        <v>18</v>
      </c>
      <c r="M53" s="34"/>
      <c r="N53" s="35"/>
      <c r="O53" s="55"/>
      <c r="P53" s="37">
        <f>OverlapFirstFloor[[#This Row],[Unit Change]]+$B$33*2</f>
        <v>0</v>
      </c>
      <c r="Q53" s="37" t="str">
        <f>_xlfn.IFNA(IF(OverlapFirstFloor[[#This Row],[Custom Angular Direction]]="",INDEX(Direction[Degree],MATCH(OverlapFirstFloor[[#This Row],[Direction]],Direction[Direction],0)),OverlapFirstFloor[[#This Row],[Custom Angular Direction]]),"")</f>
        <v/>
      </c>
      <c r="R53" s="48">
        <f>IFERROR(IF(COS(RADIANS(OverlapFirstFloor[[#This Row],[Angular Direction]]))*OverlapFirstFloor[[#This Row],[Unit Change]]=0,R52,R52+COS(RADIANS(OverlapFirstFloor[[#This Row],[Angular Direction]]))*OverlapFirstFloor[[#This Row],[Unit Change]]),$R$35)</f>
        <v>0</v>
      </c>
      <c r="S53" s="48">
        <f>IFERROR(IF(SIN(RADIANS(OverlapFirstFloor[[#This Row],[Angular Direction]]))*OverlapFirstFloor[[#This Row],[Unit Change]]=0,S52,S52+SIN(RADIANS(OverlapFirstFloor[[#This Row],[Angular Direction]]))*OverlapFirstFloor[[#This Row],[Unit Change]]),$S$35)</f>
        <v>0</v>
      </c>
      <c r="T53" s="48">
        <f>R52*OverlapFirstFloor[[#This Row],[Y-Axis]]-S52*OverlapFirstFloor[[#This Row],[X-Axis]]</f>
        <v>0</v>
      </c>
    </row>
    <row r="54" spans="1:20" x14ac:dyDescent="0.45">
      <c r="A54" s="37">
        <v>19</v>
      </c>
      <c r="B54" s="34"/>
      <c r="C54" s="35"/>
      <c r="D54" s="34"/>
      <c r="E54" s="34"/>
      <c r="F54" s="37">
        <f>FirstFloor[[#This Row],[Unit Change]]+$B$33*2</f>
        <v>0</v>
      </c>
      <c r="G54" s="37" t="str">
        <f>_xlfn.IFNA(IF(FirstFloor[[#This Row],[Custom Angular Direction]]="",INDEX(Direction[Degree],MATCH(FirstFloor[[#This Row],[Direction]],Direction[Direction],0)),FirstFloor[[#This Row],[Custom Angular Direction]]),"")</f>
        <v/>
      </c>
      <c r="H54" s="48">
        <f>IFERROR(IF(COS(RADIANS(FirstFloor[[#This Row],[Angular Direction]]))*FirstFloor[[#This Row],[Unit Change]]=0,H53,H53+COS(RADIANS(FirstFloor[[#This Row],[Angular Direction]]))*FirstFloor[[#This Row],[Unit Change]]),$H$35)</f>
        <v>0</v>
      </c>
      <c r="I54" s="48">
        <f>IFERROR(IF(SIN(RADIANS(FirstFloor[[#This Row],[Angular Direction]]))*FirstFloor[[#This Row],[Unit Change]]=0,I53,I53+SIN(RADIANS(FirstFloor[[#This Row],[Angular Direction]]))*FirstFloor[[#This Row],[Unit Change]]),$I$35)</f>
        <v>0</v>
      </c>
      <c r="J54" s="48">
        <f>H53*FirstFloor[[#This Row],[Y-Axis]]-I53*FirstFloor[[#This Row],[X-Axis]]</f>
        <v>0</v>
      </c>
      <c r="L54" s="37">
        <v>19</v>
      </c>
      <c r="M54" s="34"/>
      <c r="N54" s="35"/>
      <c r="O54" s="55"/>
      <c r="P54" s="37">
        <f>OverlapFirstFloor[[#This Row],[Unit Change]]+$B$33*2</f>
        <v>0</v>
      </c>
      <c r="Q54" s="37" t="str">
        <f>_xlfn.IFNA(IF(OverlapFirstFloor[[#This Row],[Custom Angular Direction]]="",INDEX(Direction[Degree],MATCH(OverlapFirstFloor[[#This Row],[Direction]],Direction[Direction],0)),OverlapFirstFloor[[#This Row],[Custom Angular Direction]]),"")</f>
        <v/>
      </c>
      <c r="R54" s="48">
        <f>IFERROR(IF(COS(RADIANS(OverlapFirstFloor[[#This Row],[Angular Direction]]))*OverlapFirstFloor[[#This Row],[Unit Change]]=0,R53,R53+COS(RADIANS(OverlapFirstFloor[[#This Row],[Angular Direction]]))*OverlapFirstFloor[[#This Row],[Unit Change]]),$R$35)</f>
        <v>0</v>
      </c>
      <c r="S54" s="48">
        <f>IFERROR(IF(SIN(RADIANS(OverlapFirstFloor[[#This Row],[Angular Direction]]))*OverlapFirstFloor[[#This Row],[Unit Change]]=0,S53,S53+SIN(RADIANS(OverlapFirstFloor[[#This Row],[Angular Direction]]))*OverlapFirstFloor[[#This Row],[Unit Change]]),$S$35)</f>
        <v>0</v>
      </c>
      <c r="T54" s="48">
        <f>R53*OverlapFirstFloor[[#This Row],[Y-Axis]]-S53*OverlapFirstFloor[[#This Row],[X-Axis]]</f>
        <v>0</v>
      </c>
    </row>
    <row r="55" spans="1:20" x14ac:dyDescent="0.45">
      <c r="A55" s="37">
        <v>20</v>
      </c>
      <c r="B55" s="34"/>
      <c r="C55" s="35"/>
      <c r="D55" s="34"/>
      <c r="E55" s="34"/>
      <c r="F55" s="37">
        <f>FirstFloor[[#This Row],[Unit Change]]+$B$33*2</f>
        <v>0</v>
      </c>
      <c r="G55" s="37" t="str">
        <f>_xlfn.IFNA(IF(FirstFloor[[#This Row],[Custom Angular Direction]]="",INDEX(Direction[Degree],MATCH(FirstFloor[[#This Row],[Direction]],Direction[Direction],0)),FirstFloor[[#This Row],[Custom Angular Direction]]),"")</f>
        <v/>
      </c>
      <c r="H55" s="48">
        <f>IFERROR(IF(COS(RADIANS(FirstFloor[[#This Row],[Angular Direction]]))*FirstFloor[[#This Row],[Unit Change]]=0,H54,H54+COS(RADIANS(FirstFloor[[#This Row],[Angular Direction]]))*FirstFloor[[#This Row],[Unit Change]]),$H$35)</f>
        <v>0</v>
      </c>
      <c r="I55" s="48">
        <f>IFERROR(IF(SIN(RADIANS(FirstFloor[[#This Row],[Angular Direction]]))*FirstFloor[[#This Row],[Unit Change]]=0,I54,I54+SIN(RADIANS(FirstFloor[[#This Row],[Angular Direction]]))*FirstFloor[[#This Row],[Unit Change]]),$I$35)</f>
        <v>0</v>
      </c>
      <c r="J55" s="48">
        <f>H54*FirstFloor[[#This Row],[Y-Axis]]-I54*FirstFloor[[#This Row],[X-Axis]]</f>
        <v>0</v>
      </c>
      <c r="L55" s="37">
        <v>20</v>
      </c>
      <c r="M55" s="34"/>
      <c r="N55" s="35"/>
      <c r="O55" s="55"/>
      <c r="P55" s="37">
        <f>OverlapFirstFloor[[#This Row],[Unit Change]]+$B$33*2</f>
        <v>0</v>
      </c>
      <c r="Q55" s="37" t="str">
        <f>_xlfn.IFNA(IF(OverlapFirstFloor[[#This Row],[Custom Angular Direction]]="",INDEX(Direction[Degree],MATCH(OverlapFirstFloor[[#This Row],[Direction]],Direction[Direction],0)),OverlapFirstFloor[[#This Row],[Custom Angular Direction]]),"")</f>
        <v/>
      </c>
      <c r="R55" s="48">
        <f>IFERROR(IF(COS(RADIANS(OverlapFirstFloor[[#This Row],[Angular Direction]]))*OverlapFirstFloor[[#This Row],[Unit Change]]=0,R54,R54+COS(RADIANS(OverlapFirstFloor[[#This Row],[Angular Direction]]))*OverlapFirstFloor[[#This Row],[Unit Change]]),$R$35)</f>
        <v>0</v>
      </c>
      <c r="S55" s="48">
        <f>IFERROR(IF(SIN(RADIANS(OverlapFirstFloor[[#This Row],[Angular Direction]]))*OverlapFirstFloor[[#This Row],[Unit Change]]=0,S54,S54+SIN(RADIANS(OverlapFirstFloor[[#This Row],[Angular Direction]]))*OverlapFirstFloor[[#This Row],[Unit Change]]),$S$35)</f>
        <v>0</v>
      </c>
      <c r="T55" s="48">
        <f>R54*OverlapFirstFloor[[#This Row],[Y-Axis]]-S54*OverlapFirstFloor[[#This Row],[X-Axis]]</f>
        <v>0</v>
      </c>
    </row>
    <row r="56" spans="1:20" x14ac:dyDescent="0.45">
      <c r="A56" s="37">
        <v>21</v>
      </c>
      <c r="B56" s="34"/>
      <c r="C56" s="35"/>
      <c r="D56" s="34"/>
      <c r="E56" s="34"/>
      <c r="F56" s="37">
        <f>FirstFloor[[#This Row],[Unit Change]]+$B$33*2</f>
        <v>0</v>
      </c>
      <c r="G56" s="37" t="str">
        <f>_xlfn.IFNA(IF(FirstFloor[[#This Row],[Custom Angular Direction]]="",INDEX(Direction[Degree],MATCH(FirstFloor[[#This Row],[Direction]],Direction[Direction],0)),FirstFloor[[#This Row],[Custom Angular Direction]]),"")</f>
        <v/>
      </c>
      <c r="H56" s="48">
        <f>IFERROR(IF(COS(RADIANS(FirstFloor[[#This Row],[Angular Direction]]))*FirstFloor[[#This Row],[Unit Change]]=0,H55,H55+COS(RADIANS(FirstFloor[[#This Row],[Angular Direction]]))*FirstFloor[[#This Row],[Unit Change]]),$H$35)</f>
        <v>0</v>
      </c>
      <c r="I56" s="48">
        <f>IFERROR(IF(SIN(RADIANS(FirstFloor[[#This Row],[Angular Direction]]))*FirstFloor[[#This Row],[Unit Change]]=0,I55,I55+SIN(RADIANS(FirstFloor[[#This Row],[Angular Direction]]))*FirstFloor[[#This Row],[Unit Change]]),$I$35)</f>
        <v>0</v>
      </c>
      <c r="J56" s="48">
        <f>H55*FirstFloor[[#This Row],[Y-Axis]]-I55*FirstFloor[[#This Row],[X-Axis]]</f>
        <v>0</v>
      </c>
      <c r="L56" s="37">
        <v>21</v>
      </c>
      <c r="M56" s="34"/>
      <c r="N56" s="35"/>
      <c r="O56" s="55"/>
      <c r="P56" s="37">
        <f>OverlapFirstFloor[[#This Row],[Unit Change]]+$B$33*2</f>
        <v>0</v>
      </c>
      <c r="Q56" s="37" t="str">
        <f>_xlfn.IFNA(IF(OverlapFirstFloor[[#This Row],[Custom Angular Direction]]="",INDEX(Direction[Degree],MATCH(OverlapFirstFloor[[#This Row],[Direction]],Direction[Direction],0)),OverlapFirstFloor[[#This Row],[Custom Angular Direction]]),"")</f>
        <v/>
      </c>
      <c r="R56" s="48">
        <f>IFERROR(IF(COS(RADIANS(OverlapFirstFloor[[#This Row],[Angular Direction]]))*OverlapFirstFloor[[#This Row],[Unit Change]]=0,R55,R55+COS(RADIANS(OverlapFirstFloor[[#This Row],[Angular Direction]]))*OverlapFirstFloor[[#This Row],[Unit Change]]),$R$35)</f>
        <v>0</v>
      </c>
      <c r="S56" s="48">
        <f>IFERROR(IF(SIN(RADIANS(OverlapFirstFloor[[#This Row],[Angular Direction]]))*OverlapFirstFloor[[#This Row],[Unit Change]]=0,S55,S55+SIN(RADIANS(OverlapFirstFloor[[#This Row],[Angular Direction]]))*OverlapFirstFloor[[#This Row],[Unit Change]]),$S$35)</f>
        <v>0</v>
      </c>
      <c r="T56" s="48">
        <f>R55*OverlapFirstFloor[[#This Row],[Y-Axis]]-S55*OverlapFirstFloor[[#This Row],[X-Axis]]</f>
        <v>0</v>
      </c>
    </row>
    <row r="57" spans="1:20" x14ac:dyDescent="0.45">
      <c r="A57" s="37">
        <v>22</v>
      </c>
      <c r="B57" s="34"/>
      <c r="C57" s="35"/>
      <c r="D57" s="34"/>
      <c r="E57" s="34"/>
      <c r="F57" s="37">
        <f>FirstFloor[[#This Row],[Unit Change]]+$B$33*2</f>
        <v>0</v>
      </c>
      <c r="G57" s="37" t="str">
        <f>_xlfn.IFNA(IF(FirstFloor[[#This Row],[Custom Angular Direction]]="",INDEX(Direction[Degree],MATCH(FirstFloor[[#This Row],[Direction]],Direction[Direction],0)),FirstFloor[[#This Row],[Custom Angular Direction]]),"")</f>
        <v/>
      </c>
      <c r="H57" s="48">
        <f>IFERROR(IF(COS(RADIANS(FirstFloor[[#This Row],[Angular Direction]]))*FirstFloor[[#This Row],[Unit Change]]=0,H56,H56+COS(RADIANS(FirstFloor[[#This Row],[Angular Direction]]))*FirstFloor[[#This Row],[Unit Change]]),$H$35)</f>
        <v>0</v>
      </c>
      <c r="I57" s="48">
        <f>IFERROR(IF(SIN(RADIANS(FirstFloor[[#This Row],[Angular Direction]]))*FirstFloor[[#This Row],[Unit Change]]=0,I56,I56+SIN(RADIANS(FirstFloor[[#This Row],[Angular Direction]]))*FirstFloor[[#This Row],[Unit Change]]),$I$35)</f>
        <v>0</v>
      </c>
      <c r="J57" s="48">
        <f>H56*FirstFloor[[#This Row],[Y-Axis]]-I56*FirstFloor[[#This Row],[X-Axis]]</f>
        <v>0</v>
      </c>
      <c r="L57" s="37">
        <v>22</v>
      </c>
      <c r="M57" s="34"/>
      <c r="N57" s="35"/>
      <c r="O57" s="55"/>
      <c r="P57" s="37">
        <f>OverlapFirstFloor[[#This Row],[Unit Change]]+$B$33*2</f>
        <v>0</v>
      </c>
      <c r="Q57" s="37" t="str">
        <f>_xlfn.IFNA(IF(OverlapFirstFloor[[#This Row],[Custom Angular Direction]]="",INDEX(Direction[Degree],MATCH(OverlapFirstFloor[[#This Row],[Direction]],Direction[Direction],0)),OverlapFirstFloor[[#This Row],[Custom Angular Direction]]),"")</f>
        <v/>
      </c>
      <c r="R57" s="48">
        <f>IFERROR(IF(COS(RADIANS(OverlapFirstFloor[[#This Row],[Angular Direction]]))*OverlapFirstFloor[[#This Row],[Unit Change]]=0,R56,R56+COS(RADIANS(OverlapFirstFloor[[#This Row],[Angular Direction]]))*OverlapFirstFloor[[#This Row],[Unit Change]]),$R$35)</f>
        <v>0</v>
      </c>
      <c r="S57" s="48">
        <f>IFERROR(IF(SIN(RADIANS(OverlapFirstFloor[[#This Row],[Angular Direction]]))*OverlapFirstFloor[[#This Row],[Unit Change]]=0,S56,S56+SIN(RADIANS(OverlapFirstFloor[[#This Row],[Angular Direction]]))*OverlapFirstFloor[[#This Row],[Unit Change]]),$S$35)</f>
        <v>0</v>
      </c>
      <c r="T57" s="48">
        <f>R56*OverlapFirstFloor[[#This Row],[Y-Axis]]-S56*OverlapFirstFloor[[#This Row],[X-Axis]]</f>
        <v>0</v>
      </c>
    </row>
    <row r="58" spans="1:20" x14ac:dyDescent="0.45">
      <c r="A58" s="37">
        <v>23</v>
      </c>
      <c r="B58" s="34"/>
      <c r="C58" s="35"/>
      <c r="D58" s="34"/>
      <c r="E58" s="34"/>
      <c r="F58" s="37">
        <f>FirstFloor[[#This Row],[Unit Change]]+$B$33*2</f>
        <v>0</v>
      </c>
      <c r="G58" s="37" t="str">
        <f>_xlfn.IFNA(IF(FirstFloor[[#This Row],[Custom Angular Direction]]="",INDEX(Direction[Degree],MATCH(FirstFloor[[#This Row],[Direction]],Direction[Direction],0)),FirstFloor[[#This Row],[Custom Angular Direction]]),"")</f>
        <v/>
      </c>
      <c r="H58" s="48">
        <f>IFERROR(IF(COS(RADIANS(FirstFloor[[#This Row],[Angular Direction]]))*FirstFloor[[#This Row],[Unit Change]]=0,H57,H57+COS(RADIANS(FirstFloor[[#This Row],[Angular Direction]]))*FirstFloor[[#This Row],[Unit Change]]),$H$35)</f>
        <v>0</v>
      </c>
      <c r="I58" s="48">
        <f>IFERROR(IF(SIN(RADIANS(FirstFloor[[#This Row],[Angular Direction]]))*FirstFloor[[#This Row],[Unit Change]]=0,I57,I57+SIN(RADIANS(FirstFloor[[#This Row],[Angular Direction]]))*FirstFloor[[#This Row],[Unit Change]]),$I$35)</f>
        <v>0</v>
      </c>
      <c r="J58" s="48">
        <f>H57*FirstFloor[[#This Row],[Y-Axis]]-I57*FirstFloor[[#This Row],[X-Axis]]</f>
        <v>0</v>
      </c>
      <c r="L58" s="37">
        <v>23</v>
      </c>
      <c r="M58" s="34"/>
      <c r="N58" s="35"/>
      <c r="O58" s="55"/>
      <c r="P58" s="37">
        <f>OverlapFirstFloor[[#This Row],[Unit Change]]+$B$33*2</f>
        <v>0</v>
      </c>
      <c r="Q58" s="37" t="str">
        <f>_xlfn.IFNA(IF(OverlapFirstFloor[[#This Row],[Custom Angular Direction]]="",INDEX(Direction[Degree],MATCH(OverlapFirstFloor[[#This Row],[Direction]],Direction[Direction],0)),OverlapFirstFloor[[#This Row],[Custom Angular Direction]]),"")</f>
        <v/>
      </c>
      <c r="R58" s="48">
        <f>IFERROR(IF(COS(RADIANS(OverlapFirstFloor[[#This Row],[Angular Direction]]))*OverlapFirstFloor[[#This Row],[Unit Change]]=0,R57,R57+COS(RADIANS(OverlapFirstFloor[[#This Row],[Angular Direction]]))*OverlapFirstFloor[[#This Row],[Unit Change]]),$R$35)</f>
        <v>0</v>
      </c>
      <c r="S58" s="48">
        <f>IFERROR(IF(SIN(RADIANS(OverlapFirstFloor[[#This Row],[Angular Direction]]))*OverlapFirstFloor[[#This Row],[Unit Change]]=0,S57,S57+SIN(RADIANS(OverlapFirstFloor[[#This Row],[Angular Direction]]))*OverlapFirstFloor[[#This Row],[Unit Change]]),$S$35)</f>
        <v>0</v>
      </c>
      <c r="T58" s="48">
        <f>R57*OverlapFirstFloor[[#This Row],[Y-Axis]]-S57*OverlapFirstFloor[[#This Row],[X-Axis]]</f>
        <v>0</v>
      </c>
    </row>
    <row r="59" spans="1:20" x14ac:dyDescent="0.45">
      <c r="A59" s="37">
        <v>24</v>
      </c>
      <c r="B59" s="34"/>
      <c r="C59" s="35"/>
      <c r="D59" s="34"/>
      <c r="E59" s="34"/>
      <c r="F59" s="37">
        <f>FirstFloor[[#This Row],[Unit Change]]+$B$33*2</f>
        <v>0</v>
      </c>
      <c r="G59" s="37" t="str">
        <f>_xlfn.IFNA(IF(FirstFloor[[#This Row],[Custom Angular Direction]]="",INDEX(Direction[Degree],MATCH(FirstFloor[[#This Row],[Direction]],Direction[Direction],0)),FirstFloor[[#This Row],[Custom Angular Direction]]),"")</f>
        <v/>
      </c>
      <c r="H59" s="48">
        <f>IFERROR(IF(COS(RADIANS(FirstFloor[[#This Row],[Angular Direction]]))*FirstFloor[[#This Row],[Unit Change]]=0,H58,H58+COS(RADIANS(FirstFloor[[#This Row],[Angular Direction]]))*FirstFloor[[#This Row],[Unit Change]]),$H$35)</f>
        <v>0</v>
      </c>
      <c r="I59" s="48">
        <f>IFERROR(IF(SIN(RADIANS(FirstFloor[[#This Row],[Angular Direction]]))*FirstFloor[[#This Row],[Unit Change]]=0,I58,I58+SIN(RADIANS(FirstFloor[[#This Row],[Angular Direction]]))*FirstFloor[[#This Row],[Unit Change]]),$I$35)</f>
        <v>0</v>
      </c>
      <c r="J59" s="48">
        <f>H58*FirstFloor[[#This Row],[Y-Axis]]-I58*FirstFloor[[#This Row],[X-Axis]]</f>
        <v>0</v>
      </c>
      <c r="L59" s="37">
        <v>24</v>
      </c>
      <c r="M59" s="34"/>
      <c r="N59" s="35"/>
      <c r="O59" s="55"/>
      <c r="P59" s="37">
        <f>OverlapFirstFloor[[#This Row],[Unit Change]]+$B$33*2</f>
        <v>0</v>
      </c>
      <c r="Q59" s="37" t="str">
        <f>_xlfn.IFNA(IF(OverlapFirstFloor[[#This Row],[Custom Angular Direction]]="",INDEX(Direction[Degree],MATCH(OverlapFirstFloor[[#This Row],[Direction]],Direction[Direction],0)),OverlapFirstFloor[[#This Row],[Custom Angular Direction]]),"")</f>
        <v/>
      </c>
      <c r="R59" s="48">
        <f>IFERROR(IF(COS(RADIANS(OverlapFirstFloor[[#This Row],[Angular Direction]]))*OverlapFirstFloor[[#This Row],[Unit Change]]=0,R58,R58+COS(RADIANS(OverlapFirstFloor[[#This Row],[Angular Direction]]))*OverlapFirstFloor[[#This Row],[Unit Change]]),$R$35)</f>
        <v>0</v>
      </c>
      <c r="S59" s="48">
        <f>IFERROR(IF(SIN(RADIANS(OverlapFirstFloor[[#This Row],[Angular Direction]]))*OverlapFirstFloor[[#This Row],[Unit Change]]=0,S58,S58+SIN(RADIANS(OverlapFirstFloor[[#This Row],[Angular Direction]]))*OverlapFirstFloor[[#This Row],[Unit Change]]),$S$35)</f>
        <v>0</v>
      </c>
      <c r="T59" s="48">
        <f>R58*OverlapFirstFloor[[#This Row],[Y-Axis]]-S58*OverlapFirstFloor[[#This Row],[X-Axis]]</f>
        <v>0</v>
      </c>
    </row>
    <row r="60" spans="1:20" x14ac:dyDescent="0.45">
      <c r="A60" s="37">
        <v>25</v>
      </c>
      <c r="B60" s="34"/>
      <c r="C60" s="35"/>
      <c r="D60" s="34"/>
      <c r="E60" s="34"/>
      <c r="F60" s="37">
        <f>FirstFloor[[#This Row],[Unit Change]]+$B$33*2</f>
        <v>0</v>
      </c>
      <c r="G60" s="37" t="str">
        <f>_xlfn.IFNA(IF(FirstFloor[[#This Row],[Custom Angular Direction]]="",INDEX(Direction[Degree],MATCH(FirstFloor[[#This Row],[Direction]],Direction[Direction],0)),FirstFloor[[#This Row],[Custom Angular Direction]]),"")</f>
        <v/>
      </c>
      <c r="H60" s="48">
        <f>IFERROR(IF(COS(RADIANS(FirstFloor[[#This Row],[Angular Direction]]))*FirstFloor[[#This Row],[Unit Change]]=0,H59,H59+COS(RADIANS(FirstFloor[[#This Row],[Angular Direction]]))*FirstFloor[[#This Row],[Unit Change]]),$H$35)</f>
        <v>0</v>
      </c>
      <c r="I60" s="48">
        <f>IFERROR(IF(SIN(RADIANS(FirstFloor[[#This Row],[Angular Direction]]))*FirstFloor[[#This Row],[Unit Change]]=0,I59,I59+SIN(RADIANS(FirstFloor[[#This Row],[Angular Direction]]))*FirstFloor[[#This Row],[Unit Change]]),$I$35)</f>
        <v>0</v>
      </c>
      <c r="J60" s="48">
        <f>H59*FirstFloor[[#This Row],[Y-Axis]]-I59*FirstFloor[[#This Row],[X-Axis]]</f>
        <v>0</v>
      </c>
      <c r="L60" s="37">
        <v>25</v>
      </c>
      <c r="M60" s="34"/>
      <c r="N60" s="35"/>
      <c r="O60" s="55"/>
      <c r="P60" s="37">
        <f>OverlapFirstFloor[[#This Row],[Unit Change]]+$B$33*2</f>
        <v>0</v>
      </c>
      <c r="Q60" s="37" t="str">
        <f>_xlfn.IFNA(IF(OverlapFirstFloor[[#This Row],[Custom Angular Direction]]="",INDEX(Direction[Degree],MATCH(OverlapFirstFloor[[#This Row],[Direction]],Direction[Direction],0)),OverlapFirstFloor[[#This Row],[Custom Angular Direction]]),"")</f>
        <v/>
      </c>
      <c r="R60" s="48">
        <f>IFERROR(IF(COS(RADIANS(OverlapFirstFloor[[#This Row],[Angular Direction]]))*OverlapFirstFloor[[#This Row],[Unit Change]]=0,R59,R59+COS(RADIANS(OverlapFirstFloor[[#This Row],[Angular Direction]]))*OverlapFirstFloor[[#This Row],[Unit Change]]),$R$35)</f>
        <v>0</v>
      </c>
      <c r="S60" s="48">
        <f>IFERROR(IF(SIN(RADIANS(OverlapFirstFloor[[#This Row],[Angular Direction]]))*OverlapFirstFloor[[#This Row],[Unit Change]]=0,S59,S59+SIN(RADIANS(OverlapFirstFloor[[#This Row],[Angular Direction]]))*OverlapFirstFloor[[#This Row],[Unit Change]]),$S$35)</f>
        <v>0</v>
      </c>
      <c r="T60" s="48">
        <f>R59*OverlapFirstFloor[[#This Row],[Y-Axis]]-S59*OverlapFirstFloor[[#This Row],[X-Axis]]</f>
        <v>0</v>
      </c>
    </row>
    <row r="61" spans="1:20" x14ac:dyDescent="0.45">
      <c r="A61" s="37">
        <v>26</v>
      </c>
      <c r="B61" s="34"/>
      <c r="C61" s="35"/>
      <c r="D61" s="34"/>
      <c r="E61" s="34"/>
      <c r="F61" s="37">
        <f>FirstFloor[[#This Row],[Unit Change]]+$B$33*2</f>
        <v>0</v>
      </c>
      <c r="G61" s="37" t="str">
        <f>_xlfn.IFNA(IF(FirstFloor[[#This Row],[Custom Angular Direction]]="",INDEX(Direction[Degree],MATCH(FirstFloor[[#This Row],[Direction]],Direction[Direction],0)),FirstFloor[[#This Row],[Custom Angular Direction]]),"")</f>
        <v/>
      </c>
      <c r="H61" s="48">
        <f>IFERROR(IF(COS(RADIANS(FirstFloor[[#This Row],[Angular Direction]]))*FirstFloor[[#This Row],[Unit Change]]=0,H60,H60+COS(RADIANS(FirstFloor[[#This Row],[Angular Direction]]))*FirstFloor[[#This Row],[Unit Change]]),$H$35)</f>
        <v>0</v>
      </c>
      <c r="I61" s="48">
        <f>IFERROR(IF(SIN(RADIANS(FirstFloor[[#This Row],[Angular Direction]]))*FirstFloor[[#This Row],[Unit Change]]=0,I60,I60+SIN(RADIANS(FirstFloor[[#This Row],[Angular Direction]]))*FirstFloor[[#This Row],[Unit Change]]),$I$35)</f>
        <v>0</v>
      </c>
      <c r="J61" s="48">
        <f>H60*FirstFloor[[#This Row],[Y-Axis]]-I60*FirstFloor[[#This Row],[X-Axis]]</f>
        <v>0</v>
      </c>
      <c r="L61" s="37">
        <v>26</v>
      </c>
      <c r="M61" s="34"/>
      <c r="N61" s="35"/>
      <c r="O61" s="55"/>
      <c r="P61" s="37">
        <f>OverlapFirstFloor[[#This Row],[Unit Change]]+$B$33*2</f>
        <v>0</v>
      </c>
      <c r="Q61" s="37" t="str">
        <f>_xlfn.IFNA(IF(OverlapFirstFloor[[#This Row],[Custom Angular Direction]]="",INDEX(Direction[Degree],MATCH(OverlapFirstFloor[[#This Row],[Direction]],Direction[Direction],0)),OverlapFirstFloor[[#This Row],[Custom Angular Direction]]),"")</f>
        <v/>
      </c>
      <c r="R61" s="48">
        <f>IFERROR(IF(COS(RADIANS(OverlapFirstFloor[[#This Row],[Angular Direction]]))*OverlapFirstFloor[[#This Row],[Unit Change]]=0,R60,R60+COS(RADIANS(OverlapFirstFloor[[#This Row],[Angular Direction]]))*OverlapFirstFloor[[#This Row],[Unit Change]]),$R$35)</f>
        <v>0</v>
      </c>
      <c r="S61" s="48">
        <f>IFERROR(IF(SIN(RADIANS(OverlapFirstFloor[[#This Row],[Angular Direction]]))*OverlapFirstFloor[[#This Row],[Unit Change]]=0,S60,S60+SIN(RADIANS(OverlapFirstFloor[[#This Row],[Angular Direction]]))*OverlapFirstFloor[[#This Row],[Unit Change]]),$S$35)</f>
        <v>0</v>
      </c>
      <c r="T61" s="48">
        <f>R60*OverlapFirstFloor[[#This Row],[Y-Axis]]-S60*OverlapFirstFloor[[#This Row],[X-Axis]]</f>
        <v>0</v>
      </c>
    </row>
    <row r="62" spans="1:20" x14ac:dyDescent="0.45">
      <c r="A62" s="37">
        <v>27</v>
      </c>
      <c r="B62" s="34"/>
      <c r="C62" s="35"/>
      <c r="D62" s="34"/>
      <c r="E62" s="34"/>
      <c r="F62" s="37">
        <f>FirstFloor[[#This Row],[Unit Change]]+$B$33*2</f>
        <v>0</v>
      </c>
      <c r="G62" s="37" t="str">
        <f>_xlfn.IFNA(IF(FirstFloor[[#This Row],[Custom Angular Direction]]="",INDEX(Direction[Degree],MATCH(FirstFloor[[#This Row],[Direction]],Direction[Direction],0)),FirstFloor[[#This Row],[Custom Angular Direction]]),"")</f>
        <v/>
      </c>
      <c r="H62" s="48">
        <f>IFERROR(IF(COS(RADIANS(FirstFloor[[#This Row],[Angular Direction]]))*FirstFloor[[#This Row],[Unit Change]]=0,H61,H61+COS(RADIANS(FirstFloor[[#This Row],[Angular Direction]]))*FirstFloor[[#This Row],[Unit Change]]),$H$35)</f>
        <v>0</v>
      </c>
      <c r="I62" s="48">
        <f>IFERROR(IF(SIN(RADIANS(FirstFloor[[#This Row],[Angular Direction]]))*FirstFloor[[#This Row],[Unit Change]]=0,I61,I61+SIN(RADIANS(FirstFloor[[#This Row],[Angular Direction]]))*FirstFloor[[#This Row],[Unit Change]]),$I$35)</f>
        <v>0</v>
      </c>
      <c r="J62" s="48">
        <f>H61*FirstFloor[[#This Row],[Y-Axis]]-I61*FirstFloor[[#This Row],[X-Axis]]</f>
        <v>0</v>
      </c>
      <c r="L62" s="37">
        <v>27</v>
      </c>
      <c r="M62" s="34"/>
      <c r="N62" s="35"/>
      <c r="O62" s="55"/>
      <c r="P62" s="37">
        <f>OverlapFirstFloor[[#This Row],[Unit Change]]+$B$33*2</f>
        <v>0</v>
      </c>
      <c r="Q62" s="37" t="str">
        <f>_xlfn.IFNA(IF(OverlapFirstFloor[[#This Row],[Custom Angular Direction]]="",INDEX(Direction[Degree],MATCH(OverlapFirstFloor[[#This Row],[Direction]],Direction[Direction],0)),OverlapFirstFloor[[#This Row],[Custom Angular Direction]]),"")</f>
        <v/>
      </c>
      <c r="R62" s="48">
        <f>IFERROR(IF(COS(RADIANS(OverlapFirstFloor[[#This Row],[Angular Direction]]))*OverlapFirstFloor[[#This Row],[Unit Change]]=0,R61,R61+COS(RADIANS(OverlapFirstFloor[[#This Row],[Angular Direction]]))*OverlapFirstFloor[[#This Row],[Unit Change]]),$R$35)</f>
        <v>0</v>
      </c>
      <c r="S62" s="48">
        <f>IFERROR(IF(SIN(RADIANS(OverlapFirstFloor[[#This Row],[Angular Direction]]))*OverlapFirstFloor[[#This Row],[Unit Change]]=0,S61,S61+SIN(RADIANS(OverlapFirstFloor[[#This Row],[Angular Direction]]))*OverlapFirstFloor[[#This Row],[Unit Change]]),$S$35)</f>
        <v>0</v>
      </c>
      <c r="T62" s="48">
        <f>R61*OverlapFirstFloor[[#This Row],[Y-Axis]]-S61*OverlapFirstFloor[[#This Row],[X-Axis]]</f>
        <v>0</v>
      </c>
    </row>
    <row r="63" spans="1:20" x14ac:dyDescent="0.45">
      <c r="A63" s="37">
        <v>28</v>
      </c>
      <c r="B63" s="34"/>
      <c r="C63" s="35"/>
      <c r="D63" s="34"/>
      <c r="E63" s="34"/>
      <c r="F63" s="37">
        <f>FirstFloor[[#This Row],[Unit Change]]+$B$33*2</f>
        <v>0</v>
      </c>
      <c r="G63" s="37" t="str">
        <f>_xlfn.IFNA(IF(FirstFloor[[#This Row],[Custom Angular Direction]]="",INDEX(Direction[Degree],MATCH(FirstFloor[[#This Row],[Direction]],Direction[Direction],0)),FirstFloor[[#This Row],[Custom Angular Direction]]),"")</f>
        <v/>
      </c>
      <c r="H63" s="48">
        <f>IFERROR(IF(COS(RADIANS(FirstFloor[[#This Row],[Angular Direction]]))*FirstFloor[[#This Row],[Unit Change]]=0,H62,H62+COS(RADIANS(FirstFloor[[#This Row],[Angular Direction]]))*FirstFloor[[#This Row],[Unit Change]]),$H$35)</f>
        <v>0</v>
      </c>
      <c r="I63" s="48">
        <f>IFERROR(IF(SIN(RADIANS(FirstFloor[[#This Row],[Angular Direction]]))*FirstFloor[[#This Row],[Unit Change]]=0,I62,I62+SIN(RADIANS(FirstFloor[[#This Row],[Angular Direction]]))*FirstFloor[[#This Row],[Unit Change]]),$I$35)</f>
        <v>0</v>
      </c>
      <c r="J63" s="48">
        <f>H62*FirstFloor[[#This Row],[Y-Axis]]-I62*FirstFloor[[#This Row],[X-Axis]]</f>
        <v>0</v>
      </c>
      <c r="L63" s="37">
        <v>28</v>
      </c>
      <c r="M63" s="34"/>
      <c r="N63" s="35"/>
      <c r="O63" s="55"/>
      <c r="P63" s="37">
        <f>OverlapFirstFloor[[#This Row],[Unit Change]]+$B$33*2</f>
        <v>0</v>
      </c>
      <c r="Q63" s="37" t="str">
        <f>_xlfn.IFNA(IF(OverlapFirstFloor[[#This Row],[Custom Angular Direction]]="",INDEX(Direction[Degree],MATCH(OverlapFirstFloor[[#This Row],[Direction]],Direction[Direction],0)),OverlapFirstFloor[[#This Row],[Custom Angular Direction]]),"")</f>
        <v/>
      </c>
      <c r="R63" s="48">
        <f>IFERROR(IF(COS(RADIANS(OverlapFirstFloor[[#This Row],[Angular Direction]]))*OverlapFirstFloor[[#This Row],[Unit Change]]=0,R62,R62+COS(RADIANS(OverlapFirstFloor[[#This Row],[Angular Direction]]))*OverlapFirstFloor[[#This Row],[Unit Change]]),$R$35)</f>
        <v>0</v>
      </c>
      <c r="S63" s="48">
        <f>IFERROR(IF(SIN(RADIANS(OverlapFirstFloor[[#This Row],[Angular Direction]]))*OverlapFirstFloor[[#This Row],[Unit Change]]=0,S62,S62+SIN(RADIANS(OverlapFirstFloor[[#This Row],[Angular Direction]]))*OverlapFirstFloor[[#This Row],[Unit Change]]),$S$35)</f>
        <v>0</v>
      </c>
      <c r="T63" s="48">
        <f>R62*OverlapFirstFloor[[#This Row],[Y-Axis]]-S62*OverlapFirstFloor[[#This Row],[X-Axis]]</f>
        <v>0</v>
      </c>
    </row>
    <row r="64" spans="1:20" x14ac:dyDescent="0.45">
      <c r="A64" s="37">
        <v>29</v>
      </c>
      <c r="B64" s="34"/>
      <c r="C64" s="35"/>
      <c r="D64" s="34"/>
      <c r="E64" s="34"/>
      <c r="F64" s="37">
        <f>FirstFloor[[#This Row],[Unit Change]]+$B$33*2</f>
        <v>0</v>
      </c>
      <c r="G64" s="37" t="str">
        <f>_xlfn.IFNA(IF(FirstFloor[[#This Row],[Custom Angular Direction]]="",INDEX(Direction[Degree],MATCH(FirstFloor[[#This Row],[Direction]],Direction[Direction],0)),FirstFloor[[#This Row],[Custom Angular Direction]]),"")</f>
        <v/>
      </c>
      <c r="H64" s="48">
        <f>IFERROR(IF(COS(RADIANS(FirstFloor[[#This Row],[Angular Direction]]))*FirstFloor[[#This Row],[Unit Change]]=0,H63,H63+COS(RADIANS(FirstFloor[[#This Row],[Angular Direction]]))*FirstFloor[[#This Row],[Unit Change]]),$H$35)</f>
        <v>0</v>
      </c>
      <c r="I64" s="48">
        <f>IFERROR(IF(SIN(RADIANS(FirstFloor[[#This Row],[Angular Direction]]))*FirstFloor[[#This Row],[Unit Change]]=0,I63,I63+SIN(RADIANS(FirstFloor[[#This Row],[Angular Direction]]))*FirstFloor[[#This Row],[Unit Change]]),$I$35)</f>
        <v>0</v>
      </c>
      <c r="J64" s="48">
        <f>H63*FirstFloor[[#This Row],[Y-Axis]]-I63*FirstFloor[[#This Row],[X-Axis]]</f>
        <v>0</v>
      </c>
      <c r="L64" s="37">
        <v>29</v>
      </c>
      <c r="M64" s="34"/>
      <c r="N64" s="35"/>
      <c r="O64" s="55"/>
      <c r="P64" s="37">
        <f>OverlapFirstFloor[[#This Row],[Unit Change]]+$B$33*2</f>
        <v>0</v>
      </c>
      <c r="Q64" s="37" t="str">
        <f>_xlfn.IFNA(IF(OverlapFirstFloor[[#This Row],[Custom Angular Direction]]="",INDEX(Direction[Degree],MATCH(OverlapFirstFloor[[#This Row],[Direction]],Direction[Direction],0)),OverlapFirstFloor[[#This Row],[Custom Angular Direction]]),"")</f>
        <v/>
      </c>
      <c r="R64" s="48">
        <f>IFERROR(IF(COS(RADIANS(OverlapFirstFloor[[#This Row],[Angular Direction]]))*OverlapFirstFloor[[#This Row],[Unit Change]]=0,R63,R63+COS(RADIANS(OverlapFirstFloor[[#This Row],[Angular Direction]]))*OverlapFirstFloor[[#This Row],[Unit Change]]),$R$35)</f>
        <v>0</v>
      </c>
      <c r="S64" s="48">
        <f>IFERROR(IF(SIN(RADIANS(OverlapFirstFloor[[#This Row],[Angular Direction]]))*OverlapFirstFloor[[#This Row],[Unit Change]]=0,S63,S63+SIN(RADIANS(OverlapFirstFloor[[#This Row],[Angular Direction]]))*OverlapFirstFloor[[#This Row],[Unit Change]]),$S$35)</f>
        <v>0</v>
      </c>
      <c r="T64" s="48">
        <f>R63*OverlapFirstFloor[[#This Row],[Y-Axis]]-S63*OverlapFirstFloor[[#This Row],[X-Axis]]</f>
        <v>0</v>
      </c>
    </row>
    <row r="65" spans="1:20" x14ac:dyDescent="0.45">
      <c r="A65" s="37">
        <v>30</v>
      </c>
      <c r="B65" s="34"/>
      <c r="C65" s="35"/>
      <c r="D65" s="34"/>
      <c r="E65" s="34"/>
      <c r="F65" s="37">
        <f>FirstFloor[[#This Row],[Unit Change]]+$B$33*2</f>
        <v>0</v>
      </c>
      <c r="G65" s="37" t="str">
        <f>_xlfn.IFNA(IF(FirstFloor[[#This Row],[Custom Angular Direction]]="",INDEX(Direction[Degree],MATCH(FirstFloor[[#This Row],[Direction]],Direction[Direction],0)),FirstFloor[[#This Row],[Custom Angular Direction]]),"")</f>
        <v/>
      </c>
      <c r="H65" s="48">
        <f>IFERROR(IF(COS(RADIANS(FirstFloor[[#This Row],[Angular Direction]]))*FirstFloor[[#This Row],[Unit Change]]=0,H64,H64+COS(RADIANS(FirstFloor[[#This Row],[Angular Direction]]))*FirstFloor[[#This Row],[Unit Change]]),$H$35)</f>
        <v>0</v>
      </c>
      <c r="I65" s="48">
        <f>IFERROR(IF(SIN(RADIANS(FirstFloor[[#This Row],[Angular Direction]]))*FirstFloor[[#This Row],[Unit Change]]=0,I64,I64+SIN(RADIANS(FirstFloor[[#This Row],[Angular Direction]]))*FirstFloor[[#This Row],[Unit Change]]),$I$35)</f>
        <v>0</v>
      </c>
      <c r="J65" s="48">
        <f>H64*FirstFloor[[#This Row],[Y-Axis]]-I64*FirstFloor[[#This Row],[X-Axis]]</f>
        <v>0</v>
      </c>
      <c r="L65" s="37">
        <v>30</v>
      </c>
      <c r="M65" s="34"/>
      <c r="N65" s="35"/>
      <c r="O65" s="55"/>
      <c r="P65" s="37">
        <f>OverlapFirstFloor[[#This Row],[Unit Change]]+$B$33*2</f>
        <v>0</v>
      </c>
      <c r="Q65" s="37" t="str">
        <f>_xlfn.IFNA(IF(OverlapFirstFloor[[#This Row],[Custom Angular Direction]]="",INDEX(Direction[Degree],MATCH(OverlapFirstFloor[[#This Row],[Direction]],Direction[Direction],0)),OverlapFirstFloor[[#This Row],[Custom Angular Direction]]),"")</f>
        <v/>
      </c>
      <c r="R65" s="48">
        <f>IFERROR(IF(COS(RADIANS(OverlapFirstFloor[[#This Row],[Angular Direction]]))*OverlapFirstFloor[[#This Row],[Unit Change]]=0,R64,R64+COS(RADIANS(OverlapFirstFloor[[#This Row],[Angular Direction]]))*OverlapFirstFloor[[#This Row],[Unit Change]]),$R$35)</f>
        <v>0</v>
      </c>
      <c r="S65" s="48">
        <f>IFERROR(IF(SIN(RADIANS(OverlapFirstFloor[[#This Row],[Angular Direction]]))*OverlapFirstFloor[[#This Row],[Unit Change]]=0,S64,S64+SIN(RADIANS(OverlapFirstFloor[[#This Row],[Angular Direction]]))*OverlapFirstFloor[[#This Row],[Unit Change]]),$S$35)</f>
        <v>0</v>
      </c>
      <c r="T65" s="48">
        <f>R64*OverlapFirstFloor[[#This Row],[Y-Axis]]-S64*OverlapFirstFloor[[#This Row],[X-Axis]]</f>
        <v>0</v>
      </c>
    </row>
    <row r="66" spans="1:20" x14ac:dyDescent="0.45">
      <c r="A66" s="37">
        <v>31</v>
      </c>
      <c r="B66" s="34"/>
      <c r="C66" s="35"/>
      <c r="D66" s="34"/>
      <c r="E66" s="34"/>
      <c r="F66" s="37">
        <f>FirstFloor[[#This Row],[Unit Change]]+$B$33*2</f>
        <v>0</v>
      </c>
      <c r="G66" s="37" t="str">
        <f>_xlfn.IFNA(IF(FirstFloor[[#This Row],[Custom Angular Direction]]="",INDEX(Direction[Degree],MATCH(FirstFloor[[#This Row],[Direction]],Direction[Direction],0)),FirstFloor[[#This Row],[Custom Angular Direction]]),"")</f>
        <v/>
      </c>
      <c r="H66" s="48">
        <f>IFERROR(IF(COS(RADIANS(FirstFloor[[#This Row],[Angular Direction]]))*FirstFloor[[#This Row],[Unit Change]]=0,H65,H65+COS(RADIANS(FirstFloor[[#This Row],[Angular Direction]]))*FirstFloor[[#This Row],[Unit Change]]),$H$35)</f>
        <v>0</v>
      </c>
      <c r="I66" s="48">
        <f>IFERROR(IF(SIN(RADIANS(FirstFloor[[#This Row],[Angular Direction]]))*FirstFloor[[#This Row],[Unit Change]]=0,I65,I65+SIN(RADIANS(FirstFloor[[#This Row],[Angular Direction]]))*FirstFloor[[#This Row],[Unit Change]]),$I$35)</f>
        <v>0</v>
      </c>
      <c r="J66" s="48">
        <f>H65*FirstFloor[[#This Row],[Y-Axis]]-I65*FirstFloor[[#This Row],[X-Axis]]</f>
        <v>0</v>
      </c>
      <c r="L66" s="37">
        <v>31</v>
      </c>
      <c r="M66" s="34"/>
      <c r="N66" s="35"/>
      <c r="O66" s="55"/>
      <c r="P66" s="37">
        <f>OverlapFirstFloor[[#This Row],[Unit Change]]+$B$33*2</f>
        <v>0</v>
      </c>
      <c r="Q66" s="37" t="str">
        <f>_xlfn.IFNA(IF(OverlapFirstFloor[[#This Row],[Custom Angular Direction]]="",INDEX(Direction[Degree],MATCH(OverlapFirstFloor[[#This Row],[Direction]],Direction[Direction],0)),OverlapFirstFloor[[#This Row],[Custom Angular Direction]]),"")</f>
        <v/>
      </c>
      <c r="R66" s="48">
        <f>IFERROR(IF(COS(RADIANS(OverlapFirstFloor[[#This Row],[Angular Direction]]))*OverlapFirstFloor[[#This Row],[Unit Change]]=0,R65,R65+COS(RADIANS(OverlapFirstFloor[[#This Row],[Angular Direction]]))*OverlapFirstFloor[[#This Row],[Unit Change]]),$R$35)</f>
        <v>0</v>
      </c>
      <c r="S66" s="48">
        <f>IFERROR(IF(SIN(RADIANS(OverlapFirstFloor[[#This Row],[Angular Direction]]))*OverlapFirstFloor[[#This Row],[Unit Change]]=0,S65,S65+SIN(RADIANS(OverlapFirstFloor[[#This Row],[Angular Direction]]))*OverlapFirstFloor[[#This Row],[Unit Change]]),$S$35)</f>
        <v>0</v>
      </c>
      <c r="T66" s="48">
        <f>R65*OverlapFirstFloor[[#This Row],[Y-Axis]]-S65*OverlapFirstFloor[[#This Row],[X-Axis]]</f>
        <v>0</v>
      </c>
    </row>
    <row r="67" spans="1:20" x14ac:dyDescent="0.45">
      <c r="G67" s="48"/>
      <c r="H67" s="48"/>
      <c r="I67" s="48"/>
      <c r="J67" s="48"/>
    </row>
    <row r="68" spans="1:20" x14ac:dyDescent="0.45">
      <c r="G68" s="48"/>
      <c r="H68" s="48"/>
      <c r="I68" s="48"/>
      <c r="J68" s="48"/>
    </row>
    <row r="69" spans="1:20" x14ac:dyDescent="0.45">
      <c r="G69" s="48"/>
      <c r="H69" s="48"/>
      <c r="I69" s="48"/>
      <c r="J69" s="48"/>
    </row>
    <row r="70" spans="1:20" x14ac:dyDescent="0.45">
      <c r="G70" s="48"/>
      <c r="H70" s="48"/>
      <c r="I70" s="48"/>
      <c r="J70" s="48"/>
    </row>
    <row r="71" spans="1:20" x14ac:dyDescent="0.45">
      <c r="G71" s="48"/>
      <c r="H71" s="48"/>
      <c r="I71" s="48"/>
      <c r="J71" s="48"/>
    </row>
    <row r="72" spans="1:20" x14ac:dyDescent="0.45">
      <c r="G72" s="48"/>
      <c r="H72" s="48"/>
      <c r="I72" s="48"/>
      <c r="J72" s="48"/>
    </row>
    <row r="73" spans="1:20" x14ac:dyDescent="0.45">
      <c r="G73" s="48"/>
      <c r="H73" s="48"/>
      <c r="I73" s="48"/>
      <c r="J73" s="48"/>
    </row>
    <row r="74" spans="1:20" x14ac:dyDescent="0.45">
      <c r="G74" s="48"/>
      <c r="H74" s="48"/>
      <c r="I74" s="48"/>
      <c r="J74" s="48"/>
    </row>
    <row r="75" spans="1:20" x14ac:dyDescent="0.45">
      <c r="G75" s="48"/>
      <c r="H75" s="48"/>
      <c r="I75" s="48"/>
      <c r="J75" s="48"/>
    </row>
    <row r="76" spans="1:20" x14ac:dyDescent="0.45">
      <c r="G76" s="48"/>
      <c r="H76" s="48"/>
      <c r="I76" s="48"/>
      <c r="J76" s="48"/>
    </row>
    <row r="77" spans="1:20" x14ac:dyDescent="0.45">
      <c r="G77" s="48"/>
      <c r="H77" s="48"/>
      <c r="I77" s="48"/>
      <c r="J77" s="48"/>
    </row>
    <row r="78" spans="1:20" x14ac:dyDescent="0.45">
      <c r="G78" s="48"/>
      <c r="H78" s="48"/>
      <c r="I78" s="48"/>
      <c r="J78" s="48"/>
    </row>
    <row r="79" spans="1:20" x14ac:dyDescent="0.45">
      <c r="G79" s="48"/>
      <c r="H79" s="48"/>
      <c r="I79" s="48"/>
      <c r="J79" s="48"/>
    </row>
    <row r="80" spans="1:20" x14ac:dyDescent="0.45">
      <c r="G80" s="48"/>
      <c r="H80" s="48"/>
      <c r="I80" s="48"/>
      <c r="J80" s="48"/>
    </row>
    <row r="81" spans="7:10" x14ac:dyDescent="0.45">
      <c r="G81" s="48"/>
      <c r="H81" s="48"/>
      <c r="I81" s="48"/>
      <c r="J81" s="48"/>
    </row>
    <row r="82" spans="7:10" x14ac:dyDescent="0.45">
      <c r="G82" s="48"/>
      <c r="H82" s="48"/>
      <c r="I82" s="48"/>
      <c r="J82" s="48"/>
    </row>
    <row r="83" spans="7:10" x14ac:dyDescent="0.45">
      <c r="G83" s="48"/>
      <c r="H83" s="48"/>
      <c r="I83" s="48"/>
      <c r="J83" s="48"/>
    </row>
    <row r="84" spans="7:10" x14ac:dyDescent="0.45">
      <c r="G84" s="48"/>
      <c r="H84" s="48"/>
      <c r="I84" s="48"/>
      <c r="J84" s="48"/>
    </row>
    <row r="85" spans="7:10" x14ac:dyDescent="0.45">
      <c r="G85" s="48"/>
      <c r="H85" s="48"/>
      <c r="I85" s="48"/>
      <c r="J85" s="48"/>
    </row>
    <row r="86" spans="7:10" x14ac:dyDescent="0.45">
      <c r="G86" s="48"/>
      <c r="H86" s="48"/>
      <c r="I86" s="48"/>
      <c r="J86" s="48"/>
    </row>
    <row r="87" spans="7:10" x14ac:dyDescent="0.45">
      <c r="G87" s="48"/>
      <c r="H87" s="48"/>
      <c r="I87" s="48"/>
      <c r="J87" s="48"/>
    </row>
    <row r="88" spans="7:10" x14ac:dyDescent="0.45">
      <c r="G88" s="48"/>
      <c r="H88" s="48"/>
      <c r="I88" s="48"/>
      <c r="J88" s="48"/>
    </row>
    <row r="89" spans="7:10" x14ac:dyDescent="0.45">
      <c r="G89" s="48"/>
      <c r="H89" s="48"/>
      <c r="I89" s="48"/>
      <c r="J89" s="48"/>
    </row>
    <row r="90" spans="7:10" x14ac:dyDescent="0.45">
      <c r="G90" s="48"/>
      <c r="H90" s="48"/>
      <c r="I90" s="48"/>
      <c r="J90" s="48"/>
    </row>
    <row r="91" spans="7:10" x14ac:dyDescent="0.45">
      <c r="G91" s="48"/>
      <c r="H91" s="48"/>
      <c r="I91" s="48"/>
      <c r="J91" s="48"/>
    </row>
    <row r="92" spans="7:10" x14ac:dyDescent="0.45">
      <c r="G92" s="48"/>
      <c r="H92" s="48"/>
      <c r="I92" s="48"/>
      <c r="J92" s="48"/>
    </row>
    <row r="93" spans="7:10" x14ac:dyDescent="0.45">
      <c r="G93" s="48"/>
      <c r="H93" s="48"/>
      <c r="I93" s="48"/>
      <c r="J93" s="48"/>
    </row>
    <row r="94" spans="7:10" x14ac:dyDescent="0.45">
      <c r="G94" s="48"/>
      <c r="H94" s="48"/>
      <c r="I94" s="48"/>
      <c r="J94" s="48"/>
    </row>
    <row r="95" spans="7:10" x14ac:dyDescent="0.45">
      <c r="G95" s="48"/>
      <c r="H95" s="48"/>
      <c r="I95" s="48"/>
      <c r="J95" s="48"/>
    </row>
    <row r="96" spans="7:10" x14ac:dyDescent="0.45">
      <c r="G96" s="48"/>
      <c r="H96" s="48"/>
      <c r="I96" s="48"/>
      <c r="J96" s="48"/>
    </row>
    <row r="97" spans="7:10" x14ac:dyDescent="0.45">
      <c r="G97" s="48"/>
      <c r="H97" s="48"/>
      <c r="I97" s="48"/>
      <c r="J97" s="48"/>
    </row>
    <row r="98" spans="7:10" x14ac:dyDescent="0.45">
      <c r="G98" s="48"/>
      <c r="H98" s="48"/>
      <c r="I98" s="48"/>
      <c r="J98" s="48"/>
    </row>
    <row r="99" spans="7:10" x14ac:dyDescent="0.45">
      <c r="G99" s="48"/>
      <c r="H99" s="48"/>
      <c r="I99" s="48"/>
      <c r="J99" s="48"/>
    </row>
    <row r="100" spans="7:10" x14ac:dyDescent="0.45">
      <c r="G100" s="48"/>
      <c r="H100" s="48"/>
      <c r="I100" s="48"/>
      <c r="J100" s="48"/>
    </row>
    <row r="101" spans="7:10" x14ac:dyDescent="0.45">
      <c r="G101" s="48"/>
      <c r="H101" s="48"/>
      <c r="I101" s="48"/>
      <c r="J101" s="48"/>
    </row>
  </sheetData>
  <mergeCells count="4">
    <mergeCell ref="A9:C9"/>
    <mergeCell ref="L32:T32"/>
    <mergeCell ref="A32:J32"/>
    <mergeCell ref="J1:L4"/>
  </mergeCells>
  <dataValidations count="2">
    <dataValidation type="list" allowBlank="1" showInputMessage="1" showErrorMessage="1" sqref="B5:B6" xr:uid="{364695AB-E210-46C7-948A-64E3CC6334EB}">
      <formula1>"Yes,No"</formula1>
    </dataValidation>
    <dataValidation type="list" allowBlank="1" showInputMessage="1" showErrorMessage="1" sqref="E36:E66" xr:uid="{F2300284-41B5-4393-9FFC-6A9108C31B0F}">
      <formula1>$A$15:$A$20</formula1>
    </dataValidation>
  </dataValidations>
  <pageMargins left="0.7" right="0.7" top="0.75" bottom="0.75" header="0.3" footer="0.3"/>
  <pageSetup orientation="portrait" horizontalDpi="1200" verticalDpi="1200" r:id="rId1"/>
  <drawing r:id="rId2"/>
  <legacyDrawing r:id="rId3"/>
  <tableParts count="4">
    <tablePart r:id="rId4"/>
    <tablePart r:id="rId5"/>
    <tablePart r:id="rId6"/>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5AD1494E-163F-4DA2-BC66-72CB45C8F216}">
          <x14:formula1>
            <xm:f>Reference!$A$2:$A$9</xm:f>
          </x14:formula1>
          <xm:sqref>D67:D101 N36:N66</xm:sqref>
        </x14:dataValidation>
        <x14:dataValidation type="list" allowBlank="1" showInputMessage="1" showErrorMessage="1" xr:uid="{14F93DA4-071C-4EBA-AF39-E66C1C0AC853}">
          <x14:formula1>
            <xm:f>Reference!$A$2:$A$10</xm:f>
          </x14:formula1>
          <xm:sqref>C48:C66</xm:sqref>
        </x14:dataValidation>
        <x14:dataValidation type="list" allowBlank="1" showInputMessage="1" showErrorMessage="1" xr:uid="{EAA5BB75-09C2-4AD3-904C-7CE89971F209}">
          <x14:formula1>
            <xm:f>'[Plan take off tool.xlsx]Reference'!#REF!</xm:f>
          </x14:formula1>
          <xm:sqref>C36:C47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0A242-50AC-4558-AAEB-BBB5F8C999D2}">
  <sheetPr codeName="Sheet4"/>
  <dimension ref="A1:T101"/>
  <sheetViews>
    <sheetView zoomScaleNormal="100" workbookViewId="0">
      <selection activeCell="M36" sqref="M36:N41"/>
    </sheetView>
  </sheetViews>
  <sheetFormatPr defaultRowHeight="14.25" x14ac:dyDescent="0.45"/>
  <cols>
    <col min="1" max="1" width="30.86328125" style="37" bestFit="1" customWidth="1"/>
    <col min="2" max="2" width="13.53125" style="37" bestFit="1" customWidth="1"/>
    <col min="3" max="3" width="13.53125" style="37" customWidth="1"/>
    <col min="4" max="4" width="12.73046875" style="37" customWidth="1"/>
    <col min="5" max="5" width="16.86328125" style="37" bestFit="1" customWidth="1"/>
    <col min="6" max="6" width="24.59765625" style="37" bestFit="1" customWidth="1"/>
    <col min="7" max="8" width="10.59765625" style="37" customWidth="1"/>
    <col min="9" max="10" width="11.265625" style="37" customWidth="1"/>
    <col min="11" max="11" width="7.53125" style="37" bestFit="1" customWidth="1"/>
    <col min="12" max="12" width="13.265625" style="37" bestFit="1" customWidth="1"/>
    <col min="13" max="13" width="15" style="37" bestFit="1" customWidth="1"/>
    <col min="14" max="14" width="12.73046875" style="37" bestFit="1" customWidth="1"/>
    <col min="15" max="15" width="17.6640625" style="37" bestFit="1" customWidth="1"/>
    <col min="16" max="16" width="24.59765625" style="37" bestFit="1" customWidth="1"/>
    <col min="17" max="18" width="8.33203125" style="37" bestFit="1" customWidth="1"/>
    <col min="19" max="19" width="10.86328125" style="37" bestFit="1" customWidth="1"/>
    <col min="20" max="16384" width="9.06640625" style="37"/>
  </cols>
  <sheetData>
    <row r="1" spans="1:3" ht="14.65" thickBot="1" x14ac:dyDescent="0.5"/>
    <row r="2" spans="1:3" x14ac:dyDescent="0.45">
      <c r="A2" s="38" t="s">
        <v>33</v>
      </c>
      <c r="B2" s="39">
        <f>ABS(SUM(SecondFloor[Area sum])/2)-SUM(Table19[Areas to subtract])</f>
        <v>600</v>
      </c>
    </row>
    <row r="3" spans="1:3" x14ac:dyDescent="0.45">
      <c r="A3" s="40" t="s">
        <v>27</v>
      </c>
      <c r="B3" s="41">
        <f>B2-'3rd Floor'!B4+SUM(Table19[Areas to subtract])</f>
        <v>600</v>
      </c>
    </row>
    <row r="4" spans="1:3" x14ac:dyDescent="0.45">
      <c r="A4" s="40" t="s">
        <v>28</v>
      </c>
      <c r="B4" s="41">
        <f>IF(AND('2nd Floor'!B6="Yes",OR('2nd Floor'!B5="",'2nd Floor'!B5="No")),'1st Floor'!B2,IF(AND('2nd Floor'!B5="Yes",OR('2nd Floor'!B6="",'2nd Floor'!B6="No")),B2,IF(AND(B5="Yes",B6="Yes"),"Overlap error",ABS(SUM(OverlapSecondFloor[Area sum])/2))))</f>
        <v>400</v>
      </c>
    </row>
    <row r="5" spans="1:3" x14ac:dyDescent="0.45">
      <c r="A5" s="40" t="s">
        <v>191</v>
      </c>
      <c r="B5" s="49"/>
    </row>
    <row r="6" spans="1:3" x14ac:dyDescent="0.45">
      <c r="A6" s="40" t="s">
        <v>189</v>
      </c>
      <c r="B6" s="50"/>
    </row>
    <row r="7" spans="1:3" ht="14.65" thickBot="1" x14ac:dyDescent="0.5">
      <c r="A7" s="42" t="s">
        <v>45</v>
      </c>
      <c r="B7" s="43">
        <f>B2-B4</f>
        <v>200</v>
      </c>
    </row>
    <row r="8" spans="1:3" ht="14.65" thickBot="1" x14ac:dyDescent="0.5"/>
    <row r="9" spans="1:3" x14ac:dyDescent="0.45">
      <c r="A9" s="87" t="s">
        <v>39</v>
      </c>
      <c r="B9" s="88"/>
      <c r="C9" s="89"/>
    </row>
    <row r="10" spans="1:3" x14ac:dyDescent="0.45">
      <c r="A10" s="40"/>
      <c r="B10" s="44" t="s">
        <v>200</v>
      </c>
      <c r="C10" s="41" t="s">
        <v>201</v>
      </c>
    </row>
    <row r="11" spans="1:3" x14ac:dyDescent="0.45">
      <c r="A11" s="40" t="str">
        <f>A32</f>
        <v>Second Floor</v>
      </c>
      <c r="B11" s="36"/>
      <c r="C11" s="49">
        <v>-10</v>
      </c>
    </row>
    <row r="12" spans="1:3" ht="14.65" thickBot="1" x14ac:dyDescent="0.5">
      <c r="A12" s="42" t="str">
        <f>L32</f>
        <v>Second Floor rim joist</v>
      </c>
      <c r="B12" s="51"/>
      <c r="C12" s="52">
        <v>-10</v>
      </c>
    </row>
    <row r="14" spans="1:3" x14ac:dyDescent="0.45">
      <c r="A14" s="37" t="s">
        <v>130</v>
      </c>
      <c r="B14" s="37" t="s">
        <v>155</v>
      </c>
    </row>
    <row r="15" spans="1:3" x14ac:dyDescent="0.45">
      <c r="A15" s="37" t="s">
        <v>152</v>
      </c>
      <c r="B15" s="37">
        <f>SUM(SecondFloor[Offset Change])</f>
        <v>110</v>
      </c>
    </row>
    <row r="16" spans="1:3" x14ac:dyDescent="0.45">
      <c r="A16" s="37" t="s">
        <v>149</v>
      </c>
      <c r="B16" s="37">
        <f>SUMIF(SecondFloor[Wall Type],A16,SecondFloor[Offset Change])</f>
        <v>0</v>
      </c>
    </row>
    <row r="17" spans="1:20" x14ac:dyDescent="0.45">
      <c r="A17" s="37" t="s">
        <v>168</v>
      </c>
      <c r="B17" s="37">
        <f>SUMIF(SecondFloor[Wall Type],A17,SecondFloor[Offset Change])</f>
        <v>30</v>
      </c>
    </row>
    <row r="18" spans="1:20" x14ac:dyDescent="0.45">
      <c r="A18" s="37" t="s">
        <v>169</v>
      </c>
      <c r="B18" s="37">
        <f>SUMIF(SecondFloor[Wall Type],A18,SecondFloor[Offset Change])</f>
        <v>0</v>
      </c>
    </row>
    <row r="19" spans="1:20" x14ac:dyDescent="0.45">
      <c r="A19" s="37" t="s">
        <v>150</v>
      </c>
      <c r="B19" s="37">
        <f>SUMIF(SecondFloor[Wall Type],A19,SecondFloor[Offset Change])</f>
        <v>0</v>
      </c>
    </row>
    <row r="20" spans="1:20" x14ac:dyDescent="0.45">
      <c r="A20" s="37" t="s">
        <v>147</v>
      </c>
      <c r="B20" s="37">
        <f>SUMIF(SecondFloor[Wall Type],A20,SecondFloor[Offset Change])</f>
        <v>80</v>
      </c>
    </row>
    <row r="22" spans="1:20" x14ac:dyDescent="0.45">
      <c r="A22" s="37" t="s">
        <v>184</v>
      </c>
    </row>
    <row r="23" spans="1:20" x14ac:dyDescent="0.45">
      <c r="A23" s="36"/>
    </row>
    <row r="24" spans="1:20" x14ac:dyDescent="0.45">
      <c r="A24" s="36"/>
    </row>
    <row r="25" spans="1:20" x14ac:dyDescent="0.45">
      <c r="A25" s="36"/>
    </row>
    <row r="26" spans="1:20" x14ac:dyDescent="0.45">
      <c r="A26" s="57"/>
    </row>
    <row r="32" spans="1:20" ht="18" x14ac:dyDescent="0.55000000000000004">
      <c r="A32" s="90" t="s">
        <v>42</v>
      </c>
      <c r="B32" s="90"/>
      <c r="C32" s="90"/>
      <c r="D32" s="90"/>
      <c r="E32" s="90"/>
      <c r="F32" s="90"/>
      <c r="G32" s="90"/>
      <c r="H32" s="90"/>
      <c r="I32" s="90"/>
      <c r="J32" s="90"/>
      <c r="L32" s="90" t="s">
        <v>196</v>
      </c>
      <c r="M32" s="90"/>
      <c r="N32" s="90"/>
      <c r="O32" s="90"/>
      <c r="P32" s="90"/>
      <c r="Q32" s="90"/>
      <c r="R32" s="90"/>
      <c r="S32" s="90"/>
      <c r="T32" s="90"/>
    </row>
    <row r="33" spans="1:20" x14ac:dyDescent="0.45">
      <c r="A33" s="45" t="s">
        <v>12</v>
      </c>
      <c r="B33" s="53">
        <v>0</v>
      </c>
      <c r="C33" s="46"/>
      <c r="D33" s="46"/>
      <c r="E33" s="46"/>
      <c r="F33" s="46"/>
      <c r="G33" s="46" t="s">
        <v>10</v>
      </c>
      <c r="H33" s="46"/>
      <c r="I33" s="46"/>
      <c r="J33" s="47"/>
      <c r="L33" s="45" t="s">
        <v>12</v>
      </c>
      <c r="M33" s="53">
        <v>0</v>
      </c>
      <c r="N33" s="46"/>
      <c r="O33" s="46"/>
      <c r="P33" s="46"/>
      <c r="Q33" s="46"/>
      <c r="R33" s="46" t="s">
        <v>10</v>
      </c>
      <c r="S33" s="46"/>
      <c r="T33" s="46"/>
    </row>
    <row r="34" spans="1:20" x14ac:dyDescent="0.45">
      <c r="A34" s="37" t="s">
        <v>14</v>
      </c>
      <c r="B34" s="37" t="s">
        <v>11</v>
      </c>
      <c r="C34" s="37" t="s">
        <v>9</v>
      </c>
      <c r="D34" s="37" t="s">
        <v>30</v>
      </c>
      <c r="E34" s="37" t="s">
        <v>151</v>
      </c>
      <c r="F34" s="37" t="s">
        <v>16</v>
      </c>
      <c r="G34" s="37" t="s">
        <v>29</v>
      </c>
      <c r="H34" s="37" t="s">
        <v>31</v>
      </c>
      <c r="I34" s="37" t="s">
        <v>32</v>
      </c>
      <c r="J34" s="37" t="s">
        <v>37</v>
      </c>
      <c r="L34" s="37" t="s">
        <v>14</v>
      </c>
      <c r="M34" s="37" t="s">
        <v>11</v>
      </c>
      <c r="N34" s="37" t="s">
        <v>9</v>
      </c>
      <c r="O34" s="37" t="s">
        <v>30</v>
      </c>
      <c r="P34" s="37" t="s">
        <v>16</v>
      </c>
      <c r="Q34" s="37" t="s">
        <v>29</v>
      </c>
      <c r="R34" s="37" t="s">
        <v>31</v>
      </c>
      <c r="S34" s="37" t="s">
        <v>32</v>
      </c>
      <c r="T34" s="37" t="s">
        <v>37</v>
      </c>
    </row>
    <row r="35" spans="1:20" x14ac:dyDescent="0.45">
      <c r="A35" s="37">
        <v>0</v>
      </c>
      <c r="B35" s="56" t="s">
        <v>13</v>
      </c>
      <c r="C35" s="56" t="s">
        <v>13</v>
      </c>
      <c r="D35" s="56" t="s">
        <v>13</v>
      </c>
      <c r="E35" s="56" t="s">
        <v>13</v>
      </c>
      <c r="F35" s="56" t="s">
        <v>13</v>
      </c>
      <c r="G35" s="56" t="s">
        <v>13</v>
      </c>
      <c r="H35" s="48">
        <f>$B$11</f>
        <v>0</v>
      </c>
      <c r="I35" s="48">
        <f>$C$11</f>
        <v>-10</v>
      </c>
      <c r="J35" s="37">
        <v>0</v>
      </c>
      <c r="L35" s="37">
        <v>0</v>
      </c>
      <c r="M35" s="56" t="s">
        <v>13</v>
      </c>
      <c r="N35" s="56" t="s">
        <v>13</v>
      </c>
      <c r="O35" s="56" t="s">
        <v>13</v>
      </c>
      <c r="P35" s="54" t="s">
        <v>13</v>
      </c>
      <c r="Q35" s="54" t="s">
        <v>13</v>
      </c>
      <c r="R35" s="48">
        <f>B12</f>
        <v>0</v>
      </c>
      <c r="S35" s="48">
        <f>C12</f>
        <v>-10</v>
      </c>
      <c r="T35" s="37">
        <v>0</v>
      </c>
    </row>
    <row r="36" spans="1:20" x14ac:dyDescent="0.45">
      <c r="A36" s="37">
        <v>1</v>
      </c>
      <c r="B36" s="34">
        <v>40</v>
      </c>
      <c r="C36" s="35" t="s">
        <v>4</v>
      </c>
      <c r="D36" s="34"/>
      <c r="E36" s="34" t="s">
        <v>147</v>
      </c>
      <c r="F36" s="37">
        <f>SecondFloor[[#This Row],[Unit Change]]+$B$33*2</f>
        <v>40</v>
      </c>
      <c r="G36" s="37">
        <f>_xlfn.IFNA(IF(SecondFloor[[#This Row],[Custom Angular Direction]]="",INDEX(Direction[Degree],MATCH(SecondFloor[[#This Row],[Direction]],Direction[Direction],0)),SecondFloor[[#This Row],[Custom Angular Direction]]),"")</f>
        <v>0</v>
      </c>
      <c r="H36" s="48">
        <f>IFERROR(IF(COS(RADIANS(SecondFloor[[#This Row],[Angular Direction]]))*SecondFloor[[#This Row],[Unit Change]]=0,H35,H35+COS(RADIANS(SecondFloor[[#This Row],[Angular Direction]]))*SecondFloor[[#This Row],[Unit Change]]),$H$35)</f>
        <v>40</v>
      </c>
      <c r="I36" s="48">
        <f>IFERROR(IF(SIN(RADIANS(SecondFloor[[#This Row],[Angular Direction]]))*SecondFloor[[#This Row],[Unit Change]]=0,I35,I35+SIN(RADIANS(SecondFloor[[#This Row],[Angular Direction]]))*SecondFloor[[#This Row],[Unit Change]]),$I$35)</f>
        <v>-10</v>
      </c>
      <c r="J36" s="48">
        <f>H35*SecondFloor[[#This Row],[Y-Axis]]-I35*SecondFloor[[#This Row],[X-Axis]]</f>
        <v>400</v>
      </c>
      <c r="L36" s="37">
        <v>1</v>
      </c>
      <c r="M36" s="34">
        <v>40</v>
      </c>
      <c r="N36" s="35" t="s">
        <v>4</v>
      </c>
      <c r="O36" s="55"/>
      <c r="P36" s="37">
        <f>OverlapSecondFloor[[#This Row],[Unit Change]]+$M$33*2</f>
        <v>40</v>
      </c>
      <c r="Q36" s="37">
        <f>_xlfn.IFNA(IF(OverlapSecondFloor[[#This Row],[Custom Angular Direction]]="",INDEX(Direction[Degree],MATCH(OverlapSecondFloor[[#This Row],[Direction]],Direction[Direction],0)),OverlapSecondFloor[[#This Row],[Custom Angular Direction]]),"")</f>
        <v>0</v>
      </c>
      <c r="R36" s="48">
        <f>IFERROR(IF(COS(RADIANS(OverlapSecondFloor[[#This Row],[Angular Direction]]))*OverlapSecondFloor[[#This Row],[Unit Change]]=0,R35,R35+COS(RADIANS(OverlapSecondFloor[[#This Row],[Angular Direction]]))*OverlapSecondFloor[[#This Row],[Unit Change]]),$R$35)</f>
        <v>40</v>
      </c>
      <c r="S36" s="48">
        <f>IFERROR(IF(SIN(RADIANS(OverlapSecondFloor[[#This Row],[Angular Direction]]))*OverlapSecondFloor[[#This Row],[Unit Change]]=0,S35,S35+SIN(RADIANS(OverlapSecondFloor[[#This Row],[Angular Direction]]))*OverlapSecondFloor[[#This Row],[Unit Change]]),$S$35)</f>
        <v>-10</v>
      </c>
      <c r="T36" s="48">
        <f>R35*OverlapSecondFloor[[#This Row],[Y-Axis]]-S35*OverlapSecondFloor[[#This Row],[X-Axis]]</f>
        <v>400</v>
      </c>
    </row>
    <row r="37" spans="1:20" x14ac:dyDescent="0.45">
      <c r="A37" s="37">
        <v>2</v>
      </c>
      <c r="B37" s="34">
        <v>15</v>
      </c>
      <c r="C37" s="35" t="s">
        <v>2</v>
      </c>
      <c r="D37" s="34"/>
      <c r="E37" s="34" t="s">
        <v>168</v>
      </c>
      <c r="F37" s="37">
        <f>SecondFloor[[#This Row],[Unit Change]]+$B$33*2</f>
        <v>15</v>
      </c>
      <c r="G37" s="37">
        <f>_xlfn.IFNA(IF(SecondFloor[[#This Row],[Custom Angular Direction]]="",INDEX(Direction[Degree],MATCH(SecondFloor[[#This Row],[Direction]],Direction[Direction],0)),SecondFloor[[#This Row],[Custom Angular Direction]]),"")</f>
        <v>270</v>
      </c>
      <c r="H37" s="48">
        <f>IFERROR(IF(COS(RADIANS(SecondFloor[[#This Row],[Angular Direction]]))*SecondFloor[[#This Row],[Unit Change]]=0,H36,H36+COS(RADIANS(SecondFloor[[#This Row],[Angular Direction]]))*SecondFloor[[#This Row],[Unit Change]]),$H$35)</f>
        <v>40</v>
      </c>
      <c r="I37" s="48">
        <f>IFERROR(IF(SIN(RADIANS(SecondFloor[[#This Row],[Angular Direction]]))*SecondFloor[[#This Row],[Unit Change]]=0,I36,I36+SIN(RADIANS(SecondFloor[[#This Row],[Angular Direction]]))*SecondFloor[[#This Row],[Unit Change]]),$I$35)</f>
        <v>-25</v>
      </c>
      <c r="J37" s="48">
        <f>H36*SecondFloor[[#This Row],[Y-Axis]]-I36*SecondFloor[[#This Row],[X-Axis]]</f>
        <v>-600</v>
      </c>
      <c r="L37" s="37">
        <v>2</v>
      </c>
      <c r="M37" s="34">
        <v>5</v>
      </c>
      <c r="N37" s="35" t="s">
        <v>2</v>
      </c>
      <c r="O37" s="55"/>
      <c r="P37" s="37">
        <f>OverlapSecondFloor[[#This Row],[Unit Change]]+$B$33*2</f>
        <v>5</v>
      </c>
      <c r="Q37" s="37">
        <f>_xlfn.IFNA(IF(OverlapSecondFloor[[#This Row],[Custom Angular Direction]]="",INDEX(Direction[Degree],MATCH(OverlapSecondFloor[[#This Row],[Direction]],Direction[Direction],0)),OverlapSecondFloor[[#This Row],[Custom Angular Direction]]),"")</f>
        <v>270</v>
      </c>
      <c r="R37" s="48">
        <f>IFERROR(IF(COS(RADIANS(OverlapSecondFloor[[#This Row],[Angular Direction]]))*OverlapSecondFloor[[#This Row],[Unit Change]]=0,R36,R36+COS(RADIANS(OverlapSecondFloor[[#This Row],[Angular Direction]]))*OverlapSecondFloor[[#This Row],[Unit Change]]),$R$35)</f>
        <v>40</v>
      </c>
      <c r="S37" s="48">
        <f>IFERROR(IF(SIN(RADIANS(OverlapSecondFloor[[#This Row],[Angular Direction]]))*OverlapSecondFloor[[#This Row],[Unit Change]]=0,S36,S36+SIN(RADIANS(OverlapSecondFloor[[#This Row],[Angular Direction]]))*OverlapSecondFloor[[#This Row],[Unit Change]]),$S$35)</f>
        <v>-15</v>
      </c>
      <c r="T37" s="48">
        <f>R36*OverlapSecondFloor[[#This Row],[Y-Axis]]-S36*OverlapSecondFloor[[#This Row],[X-Axis]]</f>
        <v>-200</v>
      </c>
    </row>
    <row r="38" spans="1:20" x14ac:dyDescent="0.45">
      <c r="A38" s="37">
        <v>3</v>
      </c>
      <c r="B38" s="34">
        <v>40</v>
      </c>
      <c r="C38" s="35" t="s">
        <v>3</v>
      </c>
      <c r="D38" s="34"/>
      <c r="E38" s="34" t="s">
        <v>147</v>
      </c>
      <c r="F38" s="37">
        <f>SecondFloor[[#This Row],[Unit Change]]+$B$33*2</f>
        <v>40</v>
      </c>
      <c r="G38" s="37">
        <f>_xlfn.IFNA(IF(SecondFloor[[#This Row],[Custom Angular Direction]]="",INDEX(Direction[Degree],MATCH(SecondFloor[[#This Row],[Direction]],Direction[Direction],0)),SecondFloor[[#This Row],[Custom Angular Direction]]),"")</f>
        <v>180</v>
      </c>
      <c r="H38" s="48">
        <f>IFERROR(IF(COS(RADIANS(SecondFloor[[#This Row],[Angular Direction]]))*SecondFloor[[#This Row],[Unit Change]]=0,H37,H37+COS(RADIANS(SecondFloor[[#This Row],[Angular Direction]]))*SecondFloor[[#This Row],[Unit Change]]),$H$35)</f>
        <v>0</v>
      </c>
      <c r="I38" s="48">
        <f>IFERROR(IF(SIN(RADIANS(SecondFloor[[#This Row],[Angular Direction]]))*SecondFloor[[#This Row],[Unit Change]]=0,I37,I37+SIN(RADIANS(SecondFloor[[#This Row],[Angular Direction]]))*SecondFloor[[#This Row],[Unit Change]]),$I$35)</f>
        <v>-24.999999999999996</v>
      </c>
      <c r="J38" s="48">
        <f>H37*SecondFloor[[#This Row],[Y-Axis]]-I37*SecondFloor[[#This Row],[X-Axis]]</f>
        <v>-999.99999999999989</v>
      </c>
      <c r="L38" s="37">
        <v>3</v>
      </c>
      <c r="M38" s="34">
        <v>20</v>
      </c>
      <c r="N38" s="35" t="s">
        <v>3</v>
      </c>
      <c r="O38" s="55"/>
      <c r="P38" s="37">
        <f>OverlapSecondFloor[[#This Row],[Unit Change]]+$B$33*2</f>
        <v>20</v>
      </c>
      <c r="Q38" s="37">
        <f>_xlfn.IFNA(IF(OverlapSecondFloor[[#This Row],[Custom Angular Direction]]="",INDEX(Direction[Degree],MATCH(OverlapSecondFloor[[#This Row],[Direction]],Direction[Direction],0)),OverlapSecondFloor[[#This Row],[Custom Angular Direction]]),"")</f>
        <v>180</v>
      </c>
      <c r="R38" s="48">
        <f>IFERROR(IF(COS(RADIANS(OverlapSecondFloor[[#This Row],[Angular Direction]]))*OverlapSecondFloor[[#This Row],[Unit Change]]=0,R37,R37+COS(RADIANS(OverlapSecondFloor[[#This Row],[Angular Direction]]))*OverlapSecondFloor[[#This Row],[Unit Change]]),$R$35)</f>
        <v>20</v>
      </c>
      <c r="S38" s="48">
        <f>IFERROR(IF(SIN(RADIANS(OverlapSecondFloor[[#This Row],[Angular Direction]]))*OverlapSecondFloor[[#This Row],[Unit Change]]=0,S37,S37+SIN(RADIANS(OverlapSecondFloor[[#This Row],[Angular Direction]]))*OverlapSecondFloor[[#This Row],[Unit Change]]),$S$35)</f>
        <v>-14.999999999999998</v>
      </c>
      <c r="T38" s="48">
        <f>R37*OverlapSecondFloor[[#This Row],[Y-Axis]]-S37*OverlapSecondFloor[[#This Row],[X-Axis]]</f>
        <v>-299.99999999999989</v>
      </c>
    </row>
    <row r="39" spans="1:20" x14ac:dyDescent="0.45">
      <c r="A39" s="37">
        <v>4</v>
      </c>
      <c r="B39" s="34">
        <v>15</v>
      </c>
      <c r="C39" s="35" t="s">
        <v>1</v>
      </c>
      <c r="D39" s="34"/>
      <c r="E39" s="34" t="s">
        <v>168</v>
      </c>
      <c r="F39" s="37">
        <f>SecondFloor[[#This Row],[Unit Change]]+$B$33*2</f>
        <v>15</v>
      </c>
      <c r="G39" s="37">
        <f>_xlfn.IFNA(IF(SecondFloor[[#This Row],[Custom Angular Direction]]="",INDEX(Direction[Degree],MATCH(SecondFloor[[#This Row],[Direction]],Direction[Direction],0)),SecondFloor[[#This Row],[Custom Angular Direction]]),"")</f>
        <v>90</v>
      </c>
      <c r="H39" s="48">
        <f>IFERROR(IF(COS(RADIANS(SecondFloor[[#This Row],[Angular Direction]]))*SecondFloor[[#This Row],[Unit Change]]=0,H38,H38+COS(RADIANS(SecondFloor[[#This Row],[Angular Direction]]))*SecondFloor[[#This Row],[Unit Change]]),$H$35)</f>
        <v>9.1886134118146501E-16</v>
      </c>
      <c r="I39" s="48">
        <f>IFERROR(IF(SIN(RADIANS(SecondFloor[[#This Row],[Angular Direction]]))*SecondFloor[[#This Row],[Unit Change]]=0,I38,I38+SIN(RADIANS(SecondFloor[[#This Row],[Angular Direction]]))*SecondFloor[[#This Row],[Unit Change]]),$I$35)</f>
        <v>-9.9999999999999964</v>
      </c>
      <c r="J39" s="48">
        <f>H38*SecondFloor[[#This Row],[Y-Axis]]-I38*SecondFloor[[#This Row],[X-Axis]]</f>
        <v>2.2971533529536622E-14</v>
      </c>
      <c r="L39" s="37">
        <v>4</v>
      </c>
      <c r="M39" s="34">
        <v>10</v>
      </c>
      <c r="N39" s="35" t="s">
        <v>2</v>
      </c>
      <c r="O39" s="55"/>
      <c r="P39" s="37">
        <f>OverlapSecondFloor[[#This Row],[Unit Change]]+$B$33*2</f>
        <v>10</v>
      </c>
      <c r="Q39" s="37">
        <f>_xlfn.IFNA(IF(OverlapSecondFloor[[#This Row],[Custom Angular Direction]]="",INDEX(Direction[Degree],MATCH(OverlapSecondFloor[[#This Row],[Direction]],Direction[Direction],0)),OverlapSecondFloor[[#This Row],[Custom Angular Direction]]),"")</f>
        <v>270</v>
      </c>
      <c r="R39" s="48">
        <f>IFERROR(IF(COS(RADIANS(OverlapSecondFloor[[#This Row],[Angular Direction]]))*OverlapSecondFloor[[#This Row],[Unit Change]]=0,R38,R38+COS(RADIANS(OverlapSecondFloor[[#This Row],[Angular Direction]]))*OverlapSecondFloor[[#This Row],[Unit Change]]),$R$35)</f>
        <v>19.999999999999996</v>
      </c>
      <c r="S39" s="48">
        <f>IFERROR(IF(SIN(RADIANS(OverlapSecondFloor[[#This Row],[Angular Direction]]))*OverlapSecondFloor[[#This Row],[Unit Change]]=0,S38,S38+SIN(RADIANS(OverlapSecondFloor[[#This Row],[Angular Direction]]))*OverlapSecondFloor[[#This Row],[Unit Change]]),$S$35)</f>
        <v>-25</v>
      </c>
      <c r="T39" s="48">
        <f>R38*OverlapSecondFloor[[#This Row],[Y-Axis]]-S38*OverlapSecondFloor[[#This Row],[X-Axis]]</f>
        <v>-200.00000000000011</v>
      </c>
    </row>
    <row r="40" spans="1:20" x14ac:dyDescent="0.45">
      <c r="A40" s="37">
        <v>5</v>
      </c>
      <c r="B40" s="34"/>
      <c r="C40" s="35"/>
      <c r="D40" s="34"/>
      <c r="E40" s="34"/>
      <c r="F40" s="37">
        <f>SecondFloor[[#This Row],[Unit Change]]+$B$33*2</f>
        <v>0</v>
      </c>
      <c r="G40" s="37" t="str">
        <f>_xlfn.IFNA(IF(SecondFloor[[#This Row],[Custom Angular Direction]]="",INDEX(Direction[Degree],MATCH(SecondFloor[[#This Row],[Direction]],Direction[Direction],0)),SecondFloor[[#This Row],[Custom Angular Direction]]),"")</f>
        <v/>
      </c>
      <c r="H40" s="48">
        <f>IFERROR(IF(COS(RADIANS(SecondFloor[[#This Row],[Angular Direction]]))*SecondFloor[[#This Row],[Unit Change]]=0,H39,H39+COS(RADIANS(SecondFloor[[#This Row],[Angular Direction]]))*SecondFloor[[#This Row],[Unit Change]]),$H$35)</f>
        <v>0</v>
      </c>
      <c r="I40" s="48">
        <f>IFERROR(IF(SIN(RADIANS(SecondFloor[[#This Row],[Angular Direction]]))*SecondFloor[[#This Row],[Unit Change]]=0,I39,I39+SIN(RADIANS(SecondFloor[[#This Row],[Angular Direction]]))*SecondFloor[[#This Row],[Unit Change]]),$I$35)</f>
        <v>-10</v>
      </c>
      <c r="J40" s="48">
        <f>H39*SecondFloor[[#This Row],[Y-Axis]]-I39*SecondFloor[[#This Row],[X-Axis]]</f>
        <v>-9.1886134118146501E-15</v>
      </c>
      <c r="L40" s="37">
        <v>5</v>
      </c>
      <c r="M40" s="34">
        <v>20</v>
      </c>
      <c r="N40" s="35" t="s">
        <v>3</v>
      </c>
      <c r="O40" s="55"/>
      <c r="P40" s="37">
        <f>OverlapSecondFloor[[#This Row],[Unit Change]]+$B$33*2</f>
        <v>20</v>
      </c>
      <c r="Q40" s="37">
        <f>_xlfn.IFNA(IF(OverlapSecondFloor[[#This Row],[Custom Angular Direction]]="",INDEX(Direction[Degree],MATCH(OverlapSecondFloor[[#This Row],[Direction]],Direction[Direction],0)),OverlapSecondFloor[[#This Row],[Custom Angular Direction]]),"")</f>
        <v>180</v>
      </c>
      <c r="R40" s="48">
        <f>IFERROR(IF(COS(RADIANS(OverlapSecondFloor[[#This Row],[Angular Direction]]))*OverlapSecondFloor[[#This Row],[Unit Change]]=0,R39,R39+COS(RADIANS(OverlapSecondFloor[[#This Row],[Angular Direction]]))*OverlapSecondFloor[[#This Row],[Unit Change]]),$R$35)</f>
        <v>-3.5527136788005009E-15</v>
      </c>
      <c r="S40" s="48">
        <f>IFERROR(IF(SIN(RADIANS(OverlapSecondFloor[[#This Row],[Angular Direction]]))*OverlapSecondFloor[[#This Row],[Unit Change]]=0,S39,S39+SIN(RADIANS(OverlapSecondFloor[[#This Row],[Angular Direction]]))*OverlapSecondFloor[[#This Row],[Unit Change]]),$S$35)</f>
        <v>-24.999999999999996</v>
      </c>
      <c r="T40" s="48">
        <f>R39*OverlapSecondFloor[[#This Row],[Y-Axis]]-S39*OverlapSecondFloor[[#This Row],[X-Axis]]</f>
        <v>-499.99999999999994</v>
      </c>
    </row>
    <row r="41" spans="1:20" x14ac:dyDescent="0.45">
      <c r="A41" s="37">
        <v>6</v>
      </c>
      <c r="B41" s="34"/>
      <c r="C41" s="35"/>
      <c r="D41" s="34"/>
      <c r="E41" s="34"/>
      <c r="F41" s="37">
        <f>SecondFloor[[#This Row],[Unit Change]]+$B$33*2</f>
        <v>0</v>
      </c>
      <c r="G41" s="37" t="str">
        <f>_xlfn.IFNA(IF(SecondFloor[[#This Row],[Custom Angular Direction]]="",INDEX(Direction[Degree],MATCH(SecondFloor[[#This Row],[Direction]],Direction[Direction],0)),SecondFloor[[#This Row],[Custom Angular Direction]]),"")</f>
        <v/>
      </c>
      <c r="H41" s="48">
        <f>IFERROR(IF(COS(RADIANS(SecondFloor[[#This Row],[Angular Direction]]))*SecondFloor[[#This Row],[Unit Change]]=0,H40,H40+COS(RADIANS(SecondFloor[[#This Row],[Angular Direction]]))*SecondFloor[[#This Row],[Unit Change]]),$H$35)</f>
        <v>0</v>
      </c>
      <c r="I41" s="48">
        <f>IFERROR(IF(SIN(RADIANS(SecondFloor[[#This Row],[Angular Direction]]))*SecondFloor[[#This Row],[Unit Change]]=0,I40,I40+SIN(RADIANS(SecondFloor[[#This Row],[Angular Direction]]))*SecondFloor[[#This Row],[Unit Change]]),$I$35)</f>
        <v>-10</v>
      </c>
      <c r="J41" s="48">
        <f>H40*SecondFloor[[#This Row],[Y-Axis]]-I40*SecondFloor[[#This Row],[X-Axis]]</f>
        <v>0</v>
      </c>
      <c r="L41" s="37">
        <v>6</v>
      </c>
      <c r="M41" s="34">
        <v>15</v>
      </c>
      <c r="N41" s="35" t="s">
        <v>1</v>
      </c>
      <c r="O41" s="55"/>
      <c r="P41" s="37">
        <f>OverlapSecondFloor[[#This Row],[Unit Change]]+$B$33*2</f>
        <v>15</v>
      </c>
      <c r="Q41" s="37">
        <f>_xlfn.IFNA(IF(OverlapSecondFloor[[#This Row],[Custom Angular Direction]]="",INDEX(Direction[Degree],MATCH(OverlapSecondFloor[[#This Row],[Direction]],Direction[Direction],0)),OverlapSecondFloor[[#This Row],[Custom Angular Direction]]),"")</f>
        <v>90</v>
      </c>
      <c r="R41" s="48">
        <f>IFERROR(IF(COS(RADIANS(OverlapSecondFloor[[#This Row],[Angular Direction]]))*OverlapSecondFloor[[#This Row],[Unit Change]]=0,R40,R40+COS(RADIANS(OverlapSecondFloor[[#This Row],[Angular Direction]]))*OverlapSecondFloor[[#This Row],[Unit Change]]),$R$35)</f>
        <v>-2.6338523376190359E-15</v>
      </c>
      <c r="S41" s="48">
        <f>IFERROR(IF(SIN(RADIANS(OverlapSecondFloor[[#This Row],[Angular Direction]]))*OverlapSecondFloor[[#This Row],[Unit Change]]=0,S40,S40+SIN(RADIANS(OverlapSecondFloor[[#This Row],[Angular Direction]]))*OverlapSecondFloor[[#This Row],[Unit Change]]),$S$35)</f>
        <v>-9.9999999999999964</v>
      </c>
      <c r="T41" s="48">
        <f>R40*OverlapSecondFloor[[#This Row],[Y-Axis]]-S40*OverlapSecondFloor[[#This Row],[X-Axis]]</f>
        <v>-3.0319171652470889E-14</v>
      </c>
    </row>
    <row r="42" spans="1:20" x14ac:dyDescent="0.45">
      <c r="A42" s="37">
        <v>7</v>
      </c>
      <c r="B42" s="34"/>
      <c r="C42" s="35"/>
      <c r="D42" s="34"/>
      <c r="E42" s="34"/>
      <c r="F42" s="37">
        <f>SecondFloor[[#This Row],[Unit Change]]+$B$33*2</f>
        <v>0</v>
      </c>
      <c r="G42" s="37" t="str">
        <f>_xlfn.IFNA(IF(SecondFloor[[#This Row],[Custom Angular Direction]]="",INDEX(Direction[Degree],MATCH(SecondFloor[[#This Row],[Direction]],Direction[Direction],0)),SecondFloor[[#This Row],[Custom Angular Direction]]),"")</f>
        <v/>
      </c>
      <c r="H42" s="48">
        <f>IFERROR(IF(COS(RADIANS(SecondFloor[[#This Row],[Angular Direction]]))*SecondFloor[[#This Row],[Unit Change]]=0,H41,H41+COS(RADIANS(SecondFloor[[#This Row],[Angular Direction]]))*SecondFloor[[#This Row],[Unit Change]]),$H$35)</f>
        <v>0</v>
      </c>
      <c r="I42" s="48">
        <f>IFERROR(IF(SIN(RADIANS(SecondFloor[[#This Row],[Angular Direction]]))*SecondFloor[[#This Row],[Unit Change]]=0,I41,I41+SIN(RADIANS(SecondFloor[[#This Row],[Angular Direction]]))*SecondFloor[[#This Row],[Unit Change]]),$I$35)</f>
        <v>-10</v>
      </c>
      <c r="J42" s="48">
        <f>H41*SecondFloor[[#This Row],[Y-Axis]]-I41*SecondFloor[[#This Row],[X-Axis]]</f>
        <v>0</v>
      </c>
      <c r="L42" s="37">
        <v>7</v>
      </c>
      <c r="M42" s="34"/>
      <c r="N42" s="35"/>
      <c r="O42" s="55"/>
      <c r="P42" s="37">
        <f>OverlapSecondFloor[[#This Row],[Unit Change]]+$B$33*2</f>
        <v>0</v>
      </c>
      <c r="Q42" s="37" t="str">
        <f>_xlfn.IFNA(IF(OverlapSecondFloor[[#This Row],[Custom Angular Direction]]="",INDEX(Direction[Degree],MATCH(OverlapSecondFloor[[#This Row],[Direction]],Direction[Direction],0)),OverlapSecondFloor[[#This Row],[Custom Angular Direction]]),"")</f>
        <v/>
      </c>
      <c r="R42" s="48">
        <f>IFERROR(IF(COS(RADIANS(OverlapSecondFloor[[#This Row],[Angular Direction]]))*OverlapSecondFloor[[#This Row],[Unit Change]]=0,R41,R41+COS(RADIANS(OverlapSecondFloor[[#This Row],[Angular Direction]]))*OverlapSecondFloor[[#This Row],[Unit Change]]),$R$35)</f>
        <v>0</v>
      </c>
      <c r="S42" s="48">
        <f>IFERROR(IF(SIN(RADIANS(OverlapSecondFloor[[#This Row],[Angular Direction]]))*OverlapSecondFloor[[#This Row],[Unit Change]]=0,S41,S41+SIN(RADIANS(OverlapSecondFloor[[#This Row],[Angular Direction]]))*OverlapSecondFloor[[#This Row],[Unit Change]]),$S$35)</f>
        <v>-10</v>
      </c>
      <c r="T42" s="48">
        <f>R41*OverlapSecondFloor[[#This Row],[Y-Axis]]-S41*OverlapSecondFloor[[#This Row],[X-Axis]]</f>
        <v>2.6338523376190359E-14</v>
      </c>
    </row>
    <row r="43" spans="1:20" x14ac:dyDescent="0.45">
      <c r="A43" s="37">
        <v>8</v>
      </c>
      <c r="B43" s="34"/>
      <c r="C43" s="35"/>
      <c r="D43" s="34"/>
      <c r="E43" s="34"/>
      <c r="F43" s="37">
        <f>SecondFloor[[#This Row],[Unit Change]]+$B$33*2</f>
        <v>0</v>
      </c>
      <c r="G43" s="37" t="str">
        <f>_xlfn.IFNA(IF(SecondFloor[[#This Row],[Custom Angular Direction]]="",INDEX(Direction[Degree],MATCH(SecondFloor[[#This Row],[Direction]],Direction[Direction],0)),SecondFloor[[#This Row],[Custom Angular Direction]]),"")</f>
        <v/>
      </c>
      <c r="H43" s="48">
        <f>IFERROR(IF(COS(RADIANS(SecondFloor[[#This Row],[Angular Direction]]))*SecondFloor[[#This Row],[Unit Change]]=0,H42,H42+COS(RADIANS(SecondFloor[[#This Row],[Angular Direction]]))*SecondFloor[[#This Row],[Unit Change]]),$H$35)</f>
        <v>0</v>
      </c>
      <c r="I43" s="48">
        <f>IFERROR(IF(SIN(RADIANS(SecondFloor[[#This Row],[Angular Direction]]))*SecondFloor[[#This Row],[Unit Change]]=0,I42,I42+SIN(RADIANS(SecondFloor[[#This Row],[Angular Direction]]))*SecondFloor[[#This Row],[Unit Change]]),$I$35)</f>
        <v>-10</v>
      </c>
      <c r="J43" s="48">
        <f>H42*SecondFloor[[#This Row],[Y-Axis]]-I42*SecondFloor[[#This Row],[X-Axis]]</f>
        <v>0</v>
      </c>
      <c r="L43" s="37">
        <v>8</v>
      </c>
      <c r="M43" s="34"/>
      <c r="N43" s="35"/>
      <c r="O43" s="55"/>
      <c r="P43" s="37">
        <f>OverlapSecondFloor[[#This Row],[Unit Change]]+$B$33*2</f>
        <v>0</v>
      </c>
      <c r="Q43" s="37" t="str">
        <f>_xlfn.IFNA(IF(OverlapSecondFloor[[#This Row],[Custom Angular Direction]]="",INDEX(Direction[Degree],MATCH(OverlapSecondFloor[[#This Row],[Direction]],Direction[Direction],0)),OverlapSecondFloor[[#This Row],[Custom Angular Direction]]),"")</f>
        <v/>
      </c>
      <c r="R43" s="48">
        <f>IFERROR(IF(COS(RADIANS(OverlapSecondFloor[[#This Row],[Angular Direction]]))*OverlapSecondFloor[[#This Row],[Unit Change]]=0,R42,R42+COS(RADIANS(OverlapSecondFloor[[#This Row],[Angular Direction]]))*OverlapSecondFloor[[#This Row],[Unit Change]]),$R$35)</f>
        <v>0</v>
      </c>
      <c r="S43" s="48">
        <f>IFERROR(IF(SIN(RADIANS(OverlapSecondFloor[[#This Row],[Angular Direction]]))*OverlapSecondFloor[[#This Row],[Unit Change]]=0,S42,S42+SIN(RADIANS(OverlapSecondFloor[[#This Row],[Angular Direction]]))*OverlapSecondFloor[[#This Row],[Unit Change]]),$S$35)</f>
        <v>-10</v>
      </c>
      <c r="T43" s="48">
        <f>R42*OverlapSecondFloor[[#This Row],[Y-Axis]]-S42*OverlapSecondFloor[[#This Row],[X-Axis]]</f>
        <v>0</v>
      </c>
    </row>
    <row r="44" spans="1:20" x14ac:dyDescent="0.45">
      <c r="A44" s="37">
        <v>9</v>
      </c>
      <c r="B44" s="34"/>
      <c r="C44" s="35"/>
      <c r="D44" s="34"/>
      <c r="E44" s="34"/>
      <c r="F44" s="37">
        <f>SecondFloor[[#This Row],[Unit Change]]+$B$33*2</f>
        <v>0</v>
      </c>
      <c r="G44" s="37" t="str">
        <f>_xlfn.IFNA(IF(SecondFloor[[#This Row],[Custom Angular Direction]]="",INDEX(Direction[Degree],MATCH(SecondFloor[[#This Row],[Direction]],Direction[Direction],0)),SecondFloor[[#This Row],[Custom Angular Direction]]),"")</f>
        <v/>
      </c>
      <c r="H44" s="48">
        <f>IFERROR(IF(COS(RADIANS(SecondFloor[[#This Row],[Angular Direction]]))*SecondFloor[[#This Row],[Unit Change]]=0,H43,H43+COS(RADIANS(SecondFloor[[#This Row],[Angular Direction]]))*SecondFloor[[#This Row],[Unit Change]]),$H$35)</f>
        <v>0</v>
      </c>
      <c r="I44" s="48">
        <f>IFERROR(IF(SIN(RADIANS(SecondFloor[[#This Row],[Angular Direction]]))*SecondFloor[[#This Row],[Unit Change]]=0,I43,I43+SIN(RADIANS(SecondFloor[[#This Row],[Angular Direction]]))*SecondFloor[[#This Row],[Unit Change]]),$I$35)</f>
        <v>-10</v>
      </c>
      <c r="J44" s="48">
        <f>H43*SecondFloor[[#This Row],[Y-Axis]]-I43*SecondFloor[[#This Row],[X-Axis]]</f>
        <v>0</v>
      </c>
      <c r="L44" s="37">
        <v>9</v>
      </c>
      <c r="M44" s="34"/>
      <c r="N44" s="35"/>
      <c r="O44" s="55"/>
      <c r="P44" s="37">
        <f>OverlapSecondFloor[[#This Row],[Unit Change]]+$B$33*2</f>
        <v>0</v>
      </c>
      <c r="Q44" s="37" t="str">
        <f>_xlfn.IFNA(IF(OverlapSecondFloor[[#This Row],[Custom Angular Direction]]="",INDEX(Direction[Degree],MATCH(OverlapSecondFloor[[#This Row],[Direction]],Direction[Direction],0)),OverlapSecondFloor[[#This Row],[Custom Angular Direction]]),"")</f>
        <v/>
      </c>
      <c r="R44" s="48">
        <f>IFERROR(IF(COS(RADIANS(OverlapSecondFloor[[#This Row],[Angular Direction]]))*OverlapSecondFloor[[#This Row],[Unit Change]]=0,R43,R43+COS(RADIANS(OverlapSecondFloor[[#This Row],[Angular Direction]]))*OverlapSecondFloor[[#This Row],[Unit Change]]),$R$35)</f>
        <v>0</v>
      </c>
      <c r="S44" s="48">
        <f>IFERROR(IF(SIN(RADIANS(OverlapSecondFloor[[#This Row],[Angular Direction]]))*OverlapSecondFloor[[#This Row],[Unit Change]]=0,S43,S43+SIN(RADIANS(OverlapSecondFloor[[#This Row],[Angular Direction]]))*OverlapSecondFloor[[#This Row],[Unit Change]]),$S$35)</f>
        <v>-10</v>
      </c>
      <c r="T44" s="48">
        <f>R43*OverlapSecondFloor[[#This Row],[Y-Axis]]-S43*OverlapSecondFloor[[#This Row],[X-Axis]]</f>
        <v>0</v>
      </c>
    </row>
    <row r="45" spans="1:20" x14ac:dyDescent="0.45">
      <c r="A45" s="37">
        <v>10</v>
      </c>
      <c r="B45" s="34"/>
      <c r="C45" s="35"/>
      <c r="D45" s="34"/>
      <c r="E45" s="34"/>
      <c r="F45" s="37">
        <f>SecondFloor[[#This Row],[Unit Change]]+$B$33*2</f>
        <v>0</v>
      </c>
      <c r="G45" s="37" t="str">
        <f>_xlfn.IFNA(IF(SecondFloor[[#This Row],[Custom Angular Direction]]="",INDEX(Direction[Degree],MATCH(SecondFloor[[#This Row],[Direction]],Direction[Direction],0)),SecondFloor[[#This Row],[Custom Angular Direction]]),"")</f>
        <v/>
      </c>
      <c r="H45" s="48">
        <f>IFERROR(IF(COS(RADIANS(SecondFloor[[#This Row],[Angular Direction]]))*SecondFloor[[#This Row],[Unit Change]]=0,H44,H44+COS(RADIANS(SecondFloor[[#This Row],[Angular Direction]]))*SecondFloor[[#This Row],[Unit Change]]),$H$35)</f>
        <v>0</v>
      </c>
      <c r="I45" s="48">
        <f>IFERROR(IF(SIN(RADIANS(SecondFloor[[#This Row],[Angular Direction]]))*SecondFloor[[#This Row],[Unit Change]]=0,I44,I44+SIN(RADIANS(SecondFloor[[#This Row],[Angular Direction]]))*SecondFloor[[#This Row],[Unit Change]]),$I$35)</f>
        <v>-10</v>
      </c>
      <c r="J45" s="48">
        <f>H44*SecondFloor[[#This Row],[Y-Axis]]-I44*SecondFloor[[#This Row],[X-Axis]]</f>
        <v>0</v>
      </c>
      <c r="L45" s="37">
        <v>10</v>
      </c>
      <c r="M45" s="34"/>
      <c r="N45" s="35"/>
      <c r="O45" s="55"/>
      <c r="P45" s="37">
        <f>OverlapSecondFloor[[#This Row],[Unit Change]]+$B$33*2</f>
        <v>0</v>
      </c>
      <c r="Q45" s="37" t="str">
        <f>_xlfn.IFNA(IF(OverlapSecondFloor[[#This Row],[Custom Angular Direction]]="",INDEX(Direction[Degree],MATCH(OverlapSecondFloor[[#This Row],[Direction]],Direction[Direction],0)),OverlapSecondFloor[[#This Row],[Custom Angular Direction]]),"")</f>
        <v/>
      </c>
      <c r="R45" s="48">
        <f>IFERROR(IF(COS(RADIANS(OverlapSecondFloor[[#This Row],[Angular Direction]]))*OverlapSecondFloor[[#This Row],[Unit Change]]=0,R44,R44+COS(RADIANS(OverlapSecondFloor[[#This Row],[Angular Direction]]))*OverlapSecondFloor[[#This Row],[Unit Change]]),$R$35)</f>
        <v>0</v>
      </c>
      <c r="S45" s="48">
        <f>IFERROR(IF(SIN(RADIANS(OverlapSecondFloor[[#This Row],[Angular Direction]]))*OverlapSecondFloor[[#This Row],[Unit Change]]=0,S44,S44+SIN(RADIANS(OverlapSecondFloor[[#This Row],[Angular Direction]]))*OverlapSecondFloor[[#This Row],[Unit Change]]),$S$35)</f>
        <v>-10</v>
      </c>
      <c r="T45" s="48">
        <f>R44*OverlapSecondFloor[[#This Row],[Y-Axis]]-S44*OverlapSecondFloor[[#This Row],[X-Axis]]</f>
        <v>0</v>
      </c>
    </row>
    <row r="46" spans="1:20" x14ac:dyDescent="0.45">
      <c r="A46" s="37">
        <v>11</v>
      </c>
      <c r="B46" s="34"/>
      <c r="C46" s="35"/>
      <c r="D46" s="34"/>
      <c r="E46" s="34"/>
      <c r="F46" s="37">
        <f>SecondFloor[[#This Row],[Unit Change]]+$B$33*2</f>
        <v>0</v>
      </c>
      <c r="G46" s="37" t="str">
        <f>_xlfn.IFNA(IF(SecondFloor[[#This Row],[Custom Angular Direction]]="",INDEX(Direction[Degree],MATCH(SecondFloor[[#This Row],[Direction]],Direction[Direction],0)),SecondFloor[[#This Row],[Custom Angular Direction]]),"")</f>
        <v/>
      </c>
      <c r="H46" s="48">
        <f>IFERROR(IF(COS(RADIANS(SecondFloor[[#This Row],[Angular Direction]]))*SecondFloor[[#This Row],[Unit Change]]=0,H45,H45+COS(RADIANS(SecondFloor[[#This Row],[Angular Direction]]))*SecondFloor[[#This Row],[Unit Change]]),$H$35)</f>
        <v>0</v>
      </c>
      <c r="I46" s="48">
        <f>IFERROR(IF(SIN(RADIANS(SecondFloor[[#This Row],[Angular Direction]]))*SecondFloor[[#This Row],[Unit Change]]=0,I45,I45+SIN(RADIANS(SecondFloor[[#This Row],[Angular Direction]]))*SecondFloor[[#This Row],[Unit Change]]),$I$35)</f>
        <v>-10</v>
      </c>
      <c r="J46" s="48">
        <f>H45*SecondFloor[[#This Row],[Y-Axis]]-I45*SecondFloor[[#This Row],[X-Axis]]</f>
        <v>0</v>
      </c>
      <c r="L46" s="37">
        <v>11</v>
      </c>
      <c r="M46" s="34"/>
      <c r="N46" s="35"/>
      <c r="O46" s="55"/>
      <c r="P46" s="37">
        <f>OverlapSecondFloor[[#This Row],[Unit Change]]+$B$33*2</f>
        <v>0</v>
      </c>
      <c r="Q46" s="37" t="str">
        <f>_xlfn.IFNA(IF(OverlapSecondFloor[[#This Row],[Custom Angular Direction]]="",INDEX(Direction[Degree],MATCH(OverlapSecondFloor[[#This Row],[Direction]],Direction[Direction],0)),OverlapSecondFloor[[#This Row],[Custom Angular Direction]]),"")</f>
        <v/>
      </c>
      <c r="R46" s="48">
        <f>IFERROR(IF(COS(RADIANS(OverlapSecondFloor[[#This Row],[Angular Direction]]))*OverlapSecondFloor[[#This Row],[Unit Change]]=0,R45,R45+COS(RADIANS(OverlapSecondFloor[[#This Row],[Angular Direction]]))*OverlapSecondFloor[[#This Row],[Unit Change]]),$R$35)</f>
        <v>0</v>
      </c>
      <c r="S46" s="48">
        <f>IFERROR(IF(SIN(RADIANS(OverlapSecondFloor[[#This Row],[Angular Direction]]))*OverlapSecondFloor[[#This Row],[Unit Change]]=0,S45,S45+SIN(RADIANS(OverlapSecondFloor[[#This Row],[Angular Direction]]))*OverlapSecondFloor[[#This Row],[Unit Change]]),$S$35)</f>
        <v>-10</v>
      </c>
      <c r="T46" s="48">
        <f>R45*OverlapSecondFloor[[#This Row],[Y-Axis]]-S45*OverlapSecondFloor[[#This Row],[X-Axis]]</f>
        <v>0</v>
      </c>
    </row>
    <row r="47" spans="1:20" x14ac:dyDescent="0.45">
      <c r="A47" s="37">
        <v>12</v>
      </c>
      <c r="B47" s="34"/>
      <c r="C47" s="35"/>
      <c r="D47" s="34"/>
      <c r="E47" s="34"/>
      <c r="F47" s="37">
        <f>SecondFloor[[#This Row],[Unit Change]]+$B$33*2</f>
        <v>0</v>
      </c>
      <c r="G47" s="37" t="str">
        <f>_xlfn.IFNA(IF(SecondFloor[[#This Row],[Custom Angular Direction]]="",INDEX(Direction[Degree],MATCH(SecondFloor[[#This Row],[Direction]],Direction[Direction],0)),SecondFloor[[#This Row],[Custom Angular Direction]]),"")</f>
        <v/>
      </c>
      <c r="H47" s="48">
        <f>IFERROR(IF(COS(RADIANS(SecondFloor[[#This Row],[Angular Direction]]))*SecondFloor[[#This Row],[Unit Change]]=0,H46,H46+COS(RADIANS(SecondFloor[[#This Row],[Angular Direction]]))*SecondFloor[[#This Row],[Unit Change]]),$H$35)</f>
        <v>0</v>
      </c>
      <c r="I47" s="48">
        <f>IFERROR(IF(SIN(RADIANS(SecondFloor[[#This Row],[Angular Direction]]))*SecondFloor[[#This Row],[Unit Change]]=0,I46,I46+SIN(RADIANS(SecondFloor[[#This Row],[Angular Direction]]))*SecondFloor[[#This Row],[Unit Change]]),$I$35)</f>
        <v>-10</v>
      </c>
      <c r="J47" s="48">
        <f>H46*SecondFloor[[#This Row],[Y-Axis]]-I46*SecondFloor[[#This Row],[X-Axis]]</f>
        <v>0</v>
      </c>
      <c r="L47" s="37">
        <v>12</v>
      </c>
      <c r="M47" s="34"/>
      <c r="N47" s="35"/>
      <c r="O47" s="55"/>
      <c r="P47" s="37">
        <f>OverlapSecondFloor[[#This Row],[Unit Change]]+$B$33*2</f>
        <v>0</v>
      </c>
      <c r="Q47" s="37" t="str">
        <f>_xlfn.IFNA(IF(OverlapSecondFloor[[#This Row],[Custom Angular Direction]]="",INDEX(Direction[Degree],MATCH(OverlapSecondFloor[[#This Row],[Direction]],Direction[Direction],0)),OverlapSecondFloor[[#This Row],[Custom Angular Direction]]),"")</f>
        <v/>
      </c>
      <c r="R47" s="48">
        <f>IFERROR(IF(COS(RADIANS(OverlapSecondFloor[[#This Row],[Angular Direction]]))*OverlapSecondFloor[[#This Row],[Unit Change]]=0,R46,R46+COS(RADIANS(OverlapSecondFloor[[#This Row],[Angular Direction]]))*OverlapSecondFloor[[#This Row],[Unit Change]]),$R$35)</f>
        <v>0</v>
      </c>
      <c r="S47" s="48">
        <f>IFERROR(IF(SIN(RADIANS(OverlapSecondFloor[[#This Row],[Angular Direction]]))*OverlapSecondFloor[[#This Row],[Unit Change]]=0,S46,S46+SIN(RADIANS(OverlapSecondFloor[[#This Row],[Angular Direction]]))*OverlapSecondFloor[[#This Row],[Unit Change]]),$S$35)</f>
        <v>-10</v>
      </c>
      <c r="T47" s="48">
        <f>R46*OverlapSecondFloor[[#This Row],[Y-Axis]]-S46*OverlapSecondFloor[[#This Row],[X-Axis]]</f>
        <v>0</v>
      </c>
    </row>
    <row r="48" spans="1:20" x14ac:dyDescent="0.45">
      <c r="A48" s="37">
        <v>13</v>
      </c>
      <c r="B48" s="34"/>
      <c r="C48" s="35"/>
      <c r="D48" s="34"/>
      <c r="E48" s="34"/>
      <c r="F48" s="37">
        <f>SecondFloor[[#This Row],[Unit Change]]+$B$33*2</f>
        <v>0</v>
      </c>
      <c r="G48" s="37" t="str">
        <f>_xlfn.IFNA(IF(SecondFloor[[#This Row],[Custom Angular Direction]]="",INDEX(Direction[Degree],MATCH(SecondFloor[[#This Row],[Direction]],Direction[Direction],0)),SecondFloor[[#This Row],[Custom Angular Direction]]),"")</f>
        <v/>
      </c>
      <c r="H48" s="48">
        <f>IFERROR(IF(COS(RADIANS(SecondFloor[[#This Row],[Angular Direction]]))*SecondFloor[[#This Row],[Unit Change]]=0,H47,H47+COS(RADIANS(SecondFloor[[#This Row],[Angular Direction]]))*SecondFloor[[#This Row],[Unit Change]]),$H$35)</f>
        <v>0</v>
      </c>
      <c r="I48" s="48">
        <f>IFERROR(IF(SIN(RADIANS(SecondFloor[[#This Row],[Angular Direction]]))*SecondFloor[[#This Row],[Unit Change]]=0,I47,I47+SIN(RADIANS(SecondFloor[[#This Row],[Angular Direction]]))*SecondFloor[[#This Row],[Unit Change]]),$I$35)</f>
        <v>-10</v>
      </c>
      <c r="J48" s="48">
        <f>H47*SecondFloor[[#This Row],[Y-Axis]]-I47*SecondFloor[[#This Row],[X-Axis]]</f>
        <v>0</v>
      </c>
      <c r="L48" s="37">
        <v>13</v>
      </c>
      <c r="M48" s="34"/>
      <c r="N48" s="35"/>
      <c r="O48" s="55"/>
      <c r="P48" s="37">
        <f>OverlapSecondFloor[[#This Row],[Unit Change]]+$B$33*2</f>
        <v>0</v>
      </c>
      <c r="Q48" s="37" t="str">
        <f>_xlfn.IFNA(IF(OverlapSecondFloor[[#This Row],[Custom Angular Direction]]="",INDEX(Direction[Degree],MATCH(OverlapSecondFloor[[#This Row],[Direction]],Direction[Direction],0)),OverlapSecondFloor[[#This Row],[Custom Angular Direction]]),"")</f>
        <v/>
      </c>
      <c r="R48" s="48">
        <f>IFERROR(IF(COS(RADIANS(OverlapSecondFloor[[#This Row],[Angular Direction]]))*OverlapSecondFloor[[#This Row],[Unit Change]]=0,R47,R47+COS(RADIANS(OverlapSecondFloor[[#This Row],[Angular Direction]]))*OverlapSecondFloor[[#This Row],[Unit Change]]),$R$35)</f>
        <v>0</v>
      </c>
      <c r="S48" s="48">
        <f>IFERROR(IF(SIN(RADIANS(OverlapSecondFloor[[#This Row],[Angular Direction]]))*OverlapSecondFloor[[#This Row],[Unit Change]]=0,S47,S47+SIN(RADIANS(OverlapSecondFloor[[#This Row],[Angular Direction]]))*OverlapSecondFloor[[#This Row],[Unit Change]]),$S$35)</f>
        <v>-10</v>
      </c>
      <c r="T48" s="48">
        <f>R47*OverlapSecondFloor[[#This Row],[Y-Axis]]-S47*OverlapSecondFloor[[#This Row],[X-Axis]]</f>
        <v>0</v>
      </c>
    </row>
    <row r="49" spans="1:20" x14ac:dyDescent="0.45">
      <c r="A49" s="37">
        <v>14</v>
      </c>
      <c r="B49" s="34"/>
      <c r="C49" s="35"/>
      <c r="D49" s="34"/>
      <c r="E49" s="34"/>
      <c r="F49" s="37">
        <f>SecondFloor[[#This Row],[Unit Change]]+$B$33*2</f>
        <v>0</v>
      </c>
      <c r="G49" s="37" t="str">
        <f>_xlfn.IFNA(IF(SecondFloor[[#This Row],[Custom Angular Direction]]="",INDEX(Direction[Degree],MATCH(SecondFloor[[#This Row],[Direction]],Direction[Direction],0)),SecondFloor[[#This Row],[Custom Angular Direction]]),"")</f>
        <v/>
      </c>
      <c r="H49" s="48">
        <f>IFERROR(IF(COS(RADIANS(SecondFloor[[#This Row],[Angular Direction]]))*SecondFloor[[#This Row],[Unit Change]]=0,H48,H48+COS(RADIANS(SecondFloor[[#This Row],[Angular Direction]]))*SecondFloor[[#This Row],[Unit Change]]),$H$35)</f>
        <v>0</v>
      </c>
      <c r="I49" s="48">
        <f>IFERROR(IF(SIN(RADIANS(SecondFloor[[#This Row],[Angular Direction]]))*SecondFloor[[#This Row],[Unit Change]]=0,I48,I48+SIN(RADIANS(SecondFloor[[#This Row],[Angular Direction]]))*SecondFloor[[#This Row],[Unit Change]]),$I$35)</f>
        <v>-10</v>
      </c>
      <c r="J49" s="48">
        <f>H48*SecondFloor[[#This Row],[Y-Axis]]-I48*SecondFloor[[#This Row],[X-Axis]]</f>
        <v>0</v>
      </c>
      <c r="L49" s="37">
        <v>14</v>
      </c>
      <c r="M49" s="34"/>
      <c r="N49" s="35"/>
      <c r="O49" s="55"/>
      <c r="P49" s="37">
        <f>OverlapSecondFloor[[#This Row],[Unit Change]]+$B$33*2</f>
        <v>0</v>
      </c>
      <c r="Q49" s="37" t="str">
        <f>_xlfn.IFNA(IF(OverlapSecondFloor[[#This Row],[Custom Angular Direction]]="",INDEX(Direction[Degree],MATCH(OverlapSecondFloor[[#This Row],[Direction]],Direction[Direction],0)),OverlapSecondFloor[[#This Row],[Custom Angular Direction]]),"")</f>
        <v/>
      </c>
      <c r="R49" s="48">
        <f>IFERROR(IF(COS(RADIANS(OverlapSecondFloor[[#This Row],[Angular Direction]]))*OverlapSecondFloor[[#This Row],[Unit Change]]=0,R48,R48+COS(RADIANS(OverlapSecondFloor[[#This Row],[Angular Direction]]))*OverlapSecondFloor[[#This Row],[Unit Change]]),$R$35)</f>
        <v>0</v>
      </c>
      <c r="S49" s="48">
        <f>IFERROR(IF(SIN(RADIANS(OverlapSecondFloor[[#This Row],[Angular Direction]]))*OverlapSecondFloor[[#This Row],[Unit Change]]=0,S48,S48+SIN(RADIANS(OverlapSecondFloor[[#This Row],[Angular Direction]]))*OverlapSecondFloor[[#This Row],[Unit Change]]),$S$35)</f>
        <v>-10</v>
      </c>
      <c r="T49" s="48">
        <f>R48*OverlapSecondFloor[[#This Row],[Y-Axis]]-S48*OverlapSecondFloor[[#This Row],[X-Axis]]</f>
        <v>0</v>
      </c>
    </row>
    <row r="50" spans="1:20" x14ac:dyDescent="0.45">
      <c r="A50" s="37">
        <v>15</v>
      </c>
      <c r="B50" s="34"/>
      <c r="C50" s="35"/>
      <c r="D50" s="34"/>
      <c r="E50" s="34"/>
      <c r="F50" s="37">
        <f>SecondFloor[[#This Row],[Unit Change]]+$B$33*2</f>
        <v>0</v>
      </c>
      <c r="G50" s="37" t="str">
        <f>_xlfn.IFNA(IF(SecondFloor[[#This Row],[Custom Angular Direction]]="",INDEX(Direction[Degree],MATCH(SecondFloor[[#This Row],[Direction]],Direction[Direction],0)),SecondFloor[[#This Row],[Custom Angular Direction]]),"")</f>
        <v/>
      </c>
      <c r="H50" s="48">
        <f>IFERROR(IF(COS(RADIANS(SecondFloor[[#This Row],[Angular Direction]]))*SecondFloor[[#This Row],[Unit Change]]=0,H49,H49+COS(RADIANS(SecondFloor[[#This Row],[Angular Direction]]))*SecondFloor[[#This Row],[Unit Change]]),$H$35)</f>
        <v>0</v>
      </c>
      <c r="I50" s="48">
        <f>IFERROR(IF(SIN(RADIANS(SecondFloor[[#This Row],[Angular Direction]]))*SecondFloor[[#This Row],[Unit Change]]=0,I49,I49+SIN(RADIANS(SecondFloor[[#This Row],[Angular Direction]]))*SecondFloor[[#This Row],[Unit Change]]),$I$35)</f>
        <v>-10</v>
      </c>
      <c r="J50" s="48">
        <f>H49*SecondFloor[[#This Row],[Y-Axis]]-I49*SecondFloor[[#This Row],[X-Axis]]</f>
        <v>0</v>
      </c>
      <c r="L50" s="37">
        <v>15</v>
      </c>
      <c r="M50" s="34"/>
      <c r="N50" s="35"/>
      <c r="O50" s="55"/>
      <c r="P50" s="37">
        <f>OverlapSecondFloor[[#This Row],[Unit Change]]+$B$33*2</f>
        <v>0</v>
      </c>
      <c r="Q50" s="37" t="str">
        <f>_xlfn.IFNA(IF(OverlapSecondFloor[[#This Row],[Custom Angular Direction]]="",INDEX(Direction[Degree],MATCH(OverlapSecondFloor[[#This Row],[Direction]],Direction[Direction],0)),OverlapSecondFloor[[#This Row],[Custom Angular Direction]]),"")</f>
        <v/>
      </c>
      <c r="R50" s="48">
        <f>IFERROR(IF(COS(RADIANS(OverlapSecondFloor[[#This Row],[Angular Direction]]))*OverlapSecondFloor[[#This Row],[Unit Change]]=0,R49,R49+COS(RADIANS(OverlapSecondFloor[[#This Row],[Angular Direction]]))*OverlapSecondFloor[[#This Row],[Unit Change]]),$R$35)</f>
        <v>0</v>
      </c>
      <c r="S50" s="48">
        <f>IFERROR(IF(SIN(RADIANS(OverlapSecondFloor[[#This Row],[Angular Direction]]))*OverlapSecondFloor[[#This Row],[Unit Change]]=0,S49,S49+SIN(RADIANS(OverlapSecondFloor[[#This Row],[Angular Direction]]))*OverlapSecondFloor[[#This Row],[Unit Change]]),$S$35)</f>
        <v>-10</v>
      </c>
      <c r="T50" s="48">
        <f>R49*OverlapSecondFloor[[#This Row],[Y-Axis]]-S49*OverlapSecondFloor[[#This Row],[X-Axis]]</f>
        <v>0</v>
      </c>
    </row>
    <row r="51" spans="1:20" x14ac:dyDescent="0.45">
      <c r="A51" s="37">
        <v>16</v>
      </c>
      <c r="B51" s="34"/>
      <c r="C51" s="35"/>
      <c r="D51" s="34"/>
      <c r="E51" s="34"/>
      <c r="F51" s="37">
        <f>SecondFloor[[#This Row],[Unit Change]]+$B$33*2</f>
        <v>0</v>
      </c>
      <c r="G51" s="37" t="str">
        <f>_xlfn.IFNA(IF(SecondFloor[[#This Row],[Custom Angular Direction]]="",INDEX(Direction[Degree],MATCH(SecondFloor[[#This Row],[Direction]],Direction[Direction],0)),SecondFloor[[#This Row],[Custom Angular Direction]]),"")</f>
        <v/>
      </c>
      <c r="H51" s="48">
        <f>IFERROR(IF(COS(RADIANS(SecondFloor[[#This Row],[Angular Direction]]))*SecondFloor[[#This Row],[Unit Change]]=0,H50,H50+COS(RADIANS(SecondFloor[[#This Row],[Angular Direction]]))*SecondFloor[[#This Row],[Unit Change]]),$H$35)</f>
        <v>0</v>
      </c>
      <c r="I51" s="48">
        <f>IFERROR(IF(SIN(RADIANS(SecondFloor[[#This Row],[Angular Direction]]))*SecondFloor[[#This Row],[Unit Change]]=0,I50,I50+SIN(RADIANS(SecondFloor[[#This Row],[Angular Direction]]))*SecondFloor[[#This Row],[Unit Change]]),$I$35)</f>
        <v>-10</v>
      </c>
      <c r="J51" s="48">
        <f>H50*SecondFloor[[#This Row],[Y-Axis]]-I50*SecondFloor[[#This Row],[X-Axis]]</f>
        <v>0</v>
      </c>
      <c r="L51" s="37">
        <v>16</v>
      </c>
      <c r="M51" s="34"/>
      <c r="N51" s="35"/>
      <c r="O51" s="55"/>
      <c r="P51" s="37">
        <f>OverlapSecondFloor[[#This Row],[Unit Change]]+$B$33*2</f>
        <v>0</v>
      </c>
      <c r="Q51" s="37" t="str">
        <f>_xlfn.IFNA(IF(OverlapSecondFloor[[#This Row],[Custom Angular Direction]]="",INDEX(Direction[Degree],MATCH(OverlapSecondFloor[[#This Row],[Direction]],Direction[Direction],0)),OverlapSecondFloor[[#This Row],[Custom Angular Direction]]),"")</f>
        <v/>
      </c>
      <c r="R51" s="48">
        <f>IFERROR(IF(COS(RADIANS(OverlapSecondFloor[[#This Row],[Angular Direction]]))*OverlapSecondFloor[[#This Row],[Unit Change]]=0,R50,R50+COS(RADIANS(OverlapSecondFloor[[#This Row],[Angular Direction]]))*OverlapSecondFloor[[#This Row],[Unit Change]]),$R$35)</f>
        <v>0</v>
      </c>
      <c r="S51" s="48">
        <f>IFERROR(IF(SIN(RADIANS(OverlapSecondFloor[[#This Row],[Angular Direction]]))*OverlapSecondFloor[[#This Row],[Unit Change]]=0,S50,S50+SIN(RADIANS(OverlapSecondFloor[[#This Row],[Angular Direction]]))*OverlapSecondFloor[[#This Row],[Unit Change]]),$S$35)</f>
        <v>-10</v>
      </c>
      <c r="T51" s="48">
        <f>R50*OverlapSecondFloor[[#This Row],[Y-Axis]]-S50*OverlapSecondFloor[[#This Row],[X-Axis]]</f>
        <v>0</v>
      </c>
    </row>
    <row r="52" spans="1:20" x14ac:dyDescent="0.45">
      <c r="A52" s="37">
        <v>17</v>
      </c>
      <c r="B52" s="34"/>
      <c r="C52" s="35"/>
      <c r="D52" s="34"/>
      <c r="E52" s="34"/>
      <c r="F52" s="37">
        <f>SecondFloor[[#This Row],[Unit Change]]+$B$33*2</f>
        <v>0</v>
      </c>
      <c r="G52" s="37" t="str">
        <f>_xlfn.IFNA(IF(SecondFloor[[#This Row],[Custom Angular Direction]]="",INDEX(Direction[Degree],MATCH(SecondFloor[[#This Row],[Direction]],Direction[Direction],0)),SecondFloor[[#This Row],[Custom Angular Direction]]),"")</f>
        <v/>
      </c>
      <c r="H52" s="48">
        <f>IFERROR(IF(COS(RADIANS(SecondFloor[[#This Row],[Angular Direction]]))*SecondFloor[[#This Row],[Unit Change]]=0,H51,H51+COS(RADIANS(SecondFloor[[#This Row],[Angular Direction]]))*SecondFloor[[#This Row],[Unit Change]]),$H$35)</f>
        <v>0</v>
      </c>
      <c r="I52" s="48">
        <f>IFERROR(IF(SIN(RADIANS(SecondFloor[[#This Row],[Angular Direction]]))*SecondFloor[[#This Row],[Unit Change]]=0,I51,I51+SIN(RADIANS(SecondFloor[[#This Row],[Angular Direction]]))*SecondFloor[[#This Row],[Unit Change]]),$I$35)</f>
        <v>-10</v>
      </c>
      <c r="J52" s="48">
        <f>H51*SecondFloor[[#This Row],[Y-Axis]]-I51*SecondFloor[[#This Row],[X-Axis]]</f>
        <v>0</v>
      </c>
      <c r="L52" s="37">
        <v>17</v>
      </c>
      <c r="M52" s="34"/>
      <c r="N52" s="35"/>
      <c r="O52" s="55"/>
      <c r="P52" s="37">
        <f>OverlapSecondFloor[[#This Row],[Unit Change]]+$B$33*2</f>
        <v>0</v>
      </c>
      <c r="Q52" s="37" t="str">
        <f>_xlfn.IFNA(IF(OverlapSecondFloor[[#This Row],[Custom Angular Direction]]="",INDEX(Direction[Degree],MATCH(OverlapSecondFloor[[#This Row],[Direction]],Direction[Direction],0)),OverlapSecondFloor[[#This Row],[Custom Angular Direction]]),"")</f>
        <v/>
      </c>
      <c r="R52" s="48">
        <f>IFERROR(IF(COS(RADIANS(OverlapSecondFloor[[#This Row],[Angular Direction]]))*OverlapSecondFloor[[#This Row],[Unit Change]]=0,R51,R51+COS(RADIANS(OverlapSecondFloor[[#This Row],[Angular Direction]]))*OverlapSecondFloor[[#This Row],[Unit Change]]),$R$35)</f>
        <v>0</v>
      </c>
      <c r="S52" s="48">
        <f>IFERROR(IF(SIN(RADIANS(OverlapSecondFloor[[#This Row],[Angular Direction]]))*OverlapSecondFloor[[#This Row],[Unit Change]]=0,S51,S51+SIN(RADIANS(OverlapSecondFloor[[#This Row],[Angular Direction]]))*OverlapSecondFloor[[#This Row],[Unit Change]]),$S$35)</f>
        <v>-10</v>
      </c>
      <c r="T52" s="48">
        <f>R51*OverlapSecondFloor[[#This Row],[Y-Axis]]-S51*OverlapSecondFloor[[#This Row],[X-Axis]]</f>
        <v>0</v>
      </c>
    </row>
    <row r="53" spans="1:20" x14ac:dyDescent="0.45">
      <c r="A53" s="37">
        <v>18</v>
      </c>
      <c r="B53" s="34"/>
      <c r="C53" s="35"/>
      <c r="D53" s="34"/>
      <c r="E53" s="34"/>
      <c r="F53" s="37">
        <f>SecondFloor[[#This Row],[Unit Change]]+$B$33*2</f>
        <v>0</v>
      </c>
      <c r="G53" s="37" t="str">
        <f>_xlfn.IFNA(IF(SecondFloor[[#This Row],[Custom Angular Direction]]="",INDEX(Direction[Degree],MATCH(SecondFloor[[#This Row],[Direction]],Direction[Direction],0)),SecondFloor[[#This Row],[Custom Angular Direction]]),"")</f>
        <v/>
      </c>
      <c r="H53" s="48">
        <f>IFERROR(IF(COS(RADIANS(SecondFloor[[#This Row],[Angular Direction]]))*SecondFloor[[#This Row],[Unit Change]]=0,H52,H52+COS(RADIANS(SecondFloor[[#This Row],[Angular Direction]]))*SecondFloor[[#This Row],[Unit Change]]),$H$35)</f>
        <v>0</v>
      </c>
      <c r="I53" s="48">
        <f>IFERROR(IF(SIN(RADIANS(SecondFloor[[#This Row],[Angular Direction]]))*SecondFloor[[#This Row],[Unit Change]]=0,I52,I52+SIN(RADIANS(SecondFloor[[#This Row],[Angular Direction]]))*SecondFloor[[#This Row],[Unit Change]]),$I$35)</f>
        <v>-10</v>
      </c>
      <c r="J53" s="48">
        <f>H52*SecondFloor[[#This Row],[Y-Axis]]-I52*SecondFloor[[#This Row],[X-Axis]]</f>
        <v>0</v>
      </c>
      <c r="L53" s="37">
        <v>18</v>
      </c>
      <c r="M53" s="34"/>
      <c r="N53" s="35"/>
      <c r="O53" s="55"/>
      <c r="P53" s="37">
        <f>OverlapSecondFloor[[#This Row],[Unit Change]]+$B$33*2</f>
        <v>0</v>
      </c>
      <c r="Q53" s="37" t="str">
        <f>_xlfn.IFNA(IF(OverlapSecondFloor[[#This Row],[Custom Angular Direction]]="",INDEX(Direction[Degree],MATCH(OverlapSecondFloor[[#This Row],[Direction]],Direction[Direction],0)),OverlapSecondFloor[[#This Row],[Custom Angular Direction]]),"")</f>
        <v/>
      </c>
      <c r="R53" s="48">
        <f>IFERROR(IF(COS(RADIANS(OverlapSecondFloor[[#This Row],[Angular Direction]]))*OverlapSecondFloor[[#This Row],[Unit Change]]=0,R52,R52+COS(RADIANS(OverlapSecondFloor[[#This Row],[Angular Direction]]))*OverlapSecondFloor[[#This Row],[Unit Change]]),$R$35)</f>
        <v>0</v>
      </c>
      <c r="S53" s="48">
        <f>IFERROR(IF(SIN(RADIANS(OverlapSecondFloor[[#This Row],[Angular Direction]]))*OverlapSecondFloor[[#This Row],[Unit Change]]=0,S52,S52+SIN(RADIANS(OverlapSecondFloor[[#This Row],[Angular Direction]]))*OverlapSecondFloor[[#This Row],[Unit Change]]),$S$35)</f>
        <v>-10</v>
      </c>
      <c r="T53" s="48">
        <f>R52*OverlapSecondFloor[[#This Row],[Y-Axis]]-S52*OverlapSecondFloor[[#This Row],[X-Axis]]</f>
        <v>0</v>
      </c>
    </row>
    <row r="54" spans="1:20" x14ac:dyDescent="0.45">
      <c r="A54" s="37">
        <v>19</v>
      </c>
      <c r="B54" s="34"/>
      <c r="C54" s="35"/>
      <c r="D54" s="34"/>
      <c r="E54" s="34"/>
      <c r="F54" s="37">
        <f>SecondFloor[[#This Row],[Unit Change]]+$B$33*2</f>
        <v>0</v>
      </c>
      <c r="G54" s="37" t="str">
        <f>_xlfn.IFNA(IF(SecondFloor[[#This Row],[Custom Angular Direction]]="",INDEX(Direction[Degree],MATCH(SecondFloor[[#This Row],[Direction]],Direction[Direction],0)),SecondFloor[[#This Row],[Custom Angular Direction]]),"")</f>
        <v/>
      </c>
      <c r="H54" s="48">
        <f>IFERROR(IF(COS(RADIANS(SecondFloor[[#This Row],[Angular Direction]]))*SecondFloor[[#This Row],[Unit Change]]=0,H53,H53+COS(RADIANS(SecondFloor[[#This Row],[Angular Direction]]))*SecondFloor[[#This Row],[Unit Change]]),$H$35)</f>
        <v>0</v>
      </c>
      <c r="I54" s="48">
        <f>IFERROR(IF(SIN(RADIANS(SecondFloor[[#This Row],[Angular Direction]]))*SecondFloor[[#This Row],[Unit Change]]=0,I53,I53+SIN(RADIANS(SecondFloor[[#This Row],[Angular Direction]]))*SecondFloor[[#This Row],[Unit Change]]),$I$35)</f>
        <v>-10</v>
      </c>
      <c r="J54" s="48">
        <f>H53*SecondFloor[[#This Row],[Y-Axis]]-I53*SecondFloor[[#This Row],[X-Axis]]</f>
        <v>0</v>
      </c>
      <c r="L54" s="37">
        <v>19</v>
      </c>
      <c r="M54" s="34"/>
      <c r="N54" s="35"/>
      <c r="O54" s="55"/>
      <c r="P54" s="37">
        <f>OverlapSecondFloor[[#This Row],[Unit Change]]+$B$33*2</f>
        <v>0</v>
      </c>
      <c r="Q54" s="37" t="str">
        <f>_xlfn.IFNA(IF(OverlapSecondFloor[[#This Row],[Custom Angular Direction]]="",INDEX(Direction[Degree],MATCH(OverlapSecondFloor[[#This Row],[Direction]],Direction[Direction],0)),OverlapSecondFloor[[#This Row],[Custom Angular Direction]]),"")</f>
        <v/>
      </c>
      <c r="R54" s="48">
        <f>IFERROR(IF(COS(RADIANS(OverlapSecondFloor[[#This Row],[Angular Direction]]))*OverlapSecondFloor[[#This Row],[Unit Change]]=0,R53,R53+COS(RADIANS(OverlapSecondFloor[[#This Row],[Angular Direction]]))*OverlapSecondFloor[[#This Row],[Unit Change]]),$R$35)</f>
        <v>0</v>
      </c>
      <c r="S54" s="48">
        <f>IFERROR(IF(SIN(RADIANS(OverlapSecondFloor[[#This Row],[Angular Direction]]))*OverlapSecondFloor[[#This Row],[Unit Change]]=0,S53,S53+SIN(RADIANS(OverlapSecondFloor[[#This Row],[Angular Direction]]))*OverlapSecondFloor[[#This Row],[Unit Change]]),$S$35)</f>
        <v>-10</v>
      </c>
      <c r="T54" s="48">
        <f>R53*OverlapSecondFloor[[#This Row],[Y-Axis]]-S53*OverlapSecondFloor[[#This Row],[X-Axis]]</f>
        <v>0</v>
      </c>
    </row>
    <row r="55" spans="1:20" x14ac:dyDescent="0.45">
      <c r="A55" s="37">
        <v>20</v>
      </c>
      <c r="B55" s="34"/>
      <c r="C55" s="35"/>
      <c r="D55" s="34"/>
      <c r="E55" s="34"/>
      <c r="F55" s="37">
        <f>SecondFloor[[#This Row],[Unit Change]]+$B$33*2</f>
        <v>0</v>
      </c>
      <c r="G55" s="37" t="str">
        <f>_xlfn.IFNA(IF(SecondFloor[[#This Row],[Custom Angular Direction]]="",INDEX(Direction[Degree],MATCH(SecondFloor[[#This Row],[Direction]],Direction[Direction],0)),SecondFloor[[#This Row],[Custom Angular Direction]]),"")</f>
        <v/>
      </c>
      <c r="H55" s="48">
        <f>IFERROR(IF(COS(RADIANS(SecondFloor[[#This Row],[Angular Direction]]))*SecondFloor[[#This Row],[Unit Change]]=0,H54,H54+COS(RADIANS(SecondFloor[[#This Row],[Angular Direction]]))*SecondFloor[[#This Row],[Unit Change]]),$H$35)</f>
        <v>0</v>
      </c>
      <c r="I55" s="48">
        <f>IFERROR(IF(SIN(RADIANS(SecondFloor[[#This Row],[Angular Direction]]))*SecondFloor[[#This Row],[Unit Change]]=0,I54,I54+SIN(RADIANS(SecondFloor[[#This Row],[Angular Direction]]))*SecondFloor[[#This Row],[Unit Change]]),$I$35)</f>
        <v>-10</v>
      </c>
      <c r="J55" s="48">
        <f>H54*SecondFloor[[#This Row],[Y-Axis]]-I54*SecondFloor[[#This Row],[X-Axis]]</f>
        <v>0</v>
      </c>
      <c r="L55" s="37">
        <v>20</v>
      </c>
      <c r="M55" s="34"/>
      <c r="N55" s="35"/>
      <c r="O55" s="55"/>
      <c r="P55" s="37">
        <f>OverlapSecondFloor[[#This Row],[Unit Change]]+$B$33*2</f>
        <v>0</v>
      </c>
      <c r="Q55" s="37" t="str">
        <f>_xlfn.IFNA(IF(OverlapSecondFloor[[#This Row],[Custom Angular Direction]]="",INDEX(Direction[Degree],MATCH(OverlapSecondFloor[[#This Row],[Direction]],Direction[Direction],0)),OverlapSecondFloor[[#This Row],[Custom Angular Direction]]),"")</f>
        <v/>
      </c>
      <c r="R55" s="48">
        <f>IFERROR(IF(COS(RADIANS(OverlapSecondFloor[[#This Row],[Angular Direction]]))*OverlapSecondFloor[[#This Row],[Unit Change]]=0,R54,R54+COS(RADIANS(OverlapSecondFloor[[#This Row],[Angular Direction]]))*OverlapSecondFloor[[#This Row],[Unit Change]]),$R$35)</f>
        <v>0</v>
      </c>
      <c r="S55" s="48">
        <f>IFERROR(IF(SIN(RADIANS(OverlapSecondFloor[[#This Row],[Angular Direction]]))*OverlapSecondFloor[[#This Row],[Unit Change]]=0,S54,S54+SIN(RADIANS(OverlapSecondFloor[[#This Row],[Angular Direction]]))*OverlapSecondFloor[[#This Row],[Unit Change]]),$S$35)</f>
        <v>-10</v>
      </c>
      <c r="T55" s="48">
        <f>R54*OverlapSecondFloor[[#This Row],[Y-Axis]]-S54*OverlapSecondFloor[[#This Row],[X-Axis]]</f>
        <v>0</v>
      </c>
    </row>
    <row r="56" spans="1:20" x14ac:dyDescent="0.45">
      <c r="A56" s="37">
        <v>21</v>
      </c>
      <c r="B56" s="34"/>
      <c r="C56" s="35"/>
      <c r="D56" s="34"/>
      <c r="E56" s="34"/>
      <c r="F56" s="37">
        <f>SecondFloor[[#This Row],[Unit Change]]+$B$33*2</f>
        <v>0</v>
      </c>
      <c r="G56" s="37" t="str">
        <f>_xlfn.IFNA(IF(SecondFloor[[#This Row],[Custom Angular Direction]]="",INDEX(Direction[Degree],MATCH(SecondFloor[[#This Row],[Direction]],Direction[Direction],0)),SecondFloor[[#This Row],[Custom Angular Direction]]),"")</f>
        <v/>
      </c>
      <c r="H56" s="48">
        <f>IFERROR(IF(COS(RADIANS(SecondFloor[[#This Row],[Angular Direction]]))*SecondFloor[[#This Row],[Unit Change]]=0,H55,H55+COS(RADIANS(SecondFloor[[#This Row],[Angular Direction]]))*SecondFloor[[#This Row],[Unit Change]]),$H$35)</f>
        <v>0</v>
      </c>
      <c r="I56" s="48">
        <f>IFERROR(IF(SIN(RADIANS(SecondFloor[[#This Row],[Angular Direction]]))*SecondFloor[[#This Row],[Unit Change]]=0,I55,I55+SIN(RADIANS(SecondFloor[[#This Row],[Angular Direction]]))*SecondFloor[[#This Row],[Unit Change]]),$I$35)</f>
        <v>-10</v>
      </c>
      <c r="J56" s="48">
        <f>H55*SecondFloor[[#This Row],[Y-Axis]]-I55*SecondFloor[[#This Row],[X-Axis]]</f>
        <v>0</v>
      </c>
      <c r="L56" s="37">
        <v>21</v>
      </c>
      <c r="M56" s="34"/>
      <c r="N56" s="35"/>
      <c r="O56" s="55"/>
      <c r="P56" s="37">
        <f>OverlapSecondFloor[[#This Row],[Unit Change]]+$B$33*2</f>
        <v>0</v>
      </c>
      <c r="Q56" s="37" t="str">
        <f>_xlfn.IFNA(IF(OverlapSecondFloor[[#This Row],[Custom Angular Direction]]="",INDEX(Direction[Degree],MATCH(OverlapSecondFloor[[#This Row],[Direction]],Direction[Direction],0)),OverlapSecondFloor[[#This Row],[Custom Angular Direction]]),"")</f>
        <v/>
      </c>
      <c r="R56" s="48">
        <f>IFERROR(IF(COS(RADIANS(OverlapSecondFloor[[#This Row],[Angular Direction]]))*OverlapSecondFloor[[#This Row],[Unit Change]]=0,R55,R55+COS(RADIANS(OverlapSecondFloor[[#This Row],[Angular Direction]]))*OverlapSecondFloor[[#This Row],[Unit Change]]),$R$35)</f>
        <v>0</v>
      </c>
      <c r="S56" s="48">
        <f>IFERROR(IF(SIN(RADIANS(OverlapSecondFloor[[#This Row],[Angular Direction]]))*OverlapSecondFloor[[#This Row],[Unit Change]]=0,S55,S55+SIN(RADIANS(OverlapSecondFloor[[#This Row],[Angular Direction]]))*OverlapSecondFloor[[#This Row],[Unit Change]]),$S$35)</f>
        <v>-10</v>
      </c>
      <c r="T56" s="48">
        <f>R55*OverlapSecondFloor[[#This Row],[Y-Axis]]-S55*OverlapSecondFloor[[#This Row],[X-Axis]]</f>
        <v>0</v>
      </c>
    </row>
    <row r="57" spans="1:20" x14ac:dyDescent="0.45">
      <c r="A57" s="37">
        <v>22</v>
      </c>
      <c r="B57" s="34"/>
      <c r="C57" s="35"/>
      <c r="D57" s="34"/>
      <c r="E57" s="34"/>
      <c r="F57" s="37">
        <f>SecondFloor[[#This Row],[Unit Change]]+$B$33*2</f>
        <v>0</v>
      </c>
      <c r="G57" s="37" t="str">
        <f>_xlfn.IFNA(IF(SecondFloor[[#This Row],[Custom Angular Direction]]="",INDEX(Direction[Degree],MATCH(SecondFloor[[#This Row],[Direction]],Direction[Direction],0)),SecondFloor[[#This Row],[Custom Angular Direction]]),"")</f>
        <v/>
      </c>
      <c r="H57" s="48">
        <f>IFERROR(IF(COS(RADIANS(SecondFloor[[#This Row],[Angular Direction]]))*SecondFloor[[#This Row],[Unit Change]]=0,H56,H56+COS(RADIANS(SecondFloor[[#This Row],[Angular Direction]]))*SecondFloor[[#This Row],[Unit Change]]),$H$35)</f>
        <v>0</v>
      </c>
      <c r="I57" s="48">
        <f>IFERROR(IF(SIN(RADIANS(SecondFloor[[#This Row],[Angular Direction]]))*SecondFloor[[#This Row],[Unit Change]]=0,I56,I56+SIN(RADIANS(SecondFloor[[#This Row],[Angular Direction]]))*SecondFloor[[#This Row],[Unit Change]]),$I$35)</f>
        <v>-10</v>
      </c>
      <c r="J57" s="48">
        <f>H56*SecondFloor[[#This Row],[Y-Axis]]-I56*SecondFloor[[#This Row],[X-Axis]]</f>
        <v>0</v>
      </c>
      <c r="L57" s="37">
        <v>22</v>
      </c>
      <c r="M57" s="34"/>
      <c r="N57" s="35"/>
      <c r="O57" s="55"/>
      <c r="P57" s="37">
        <f>OverlapSecondFloor[[#This Row],[Unit Change]]+$B$33*2</f>
        <v>0</v>
      </c>
      <c r="Q57" s="37" t="str">
        <f>_xlfn.IFNA(IF(OverlapSecondFloor[[#This Row],[Custom Angular Direction]]="",INDEX(Direction[Degree],MATCH(OverlapSecondFloor[[#This Row],[Direction]],Direction[Direction],0)),OverlapSecondFloor[[#This Row],[Custom Angular Direction]]),"")</f>
        <v/>
      </c>
      <c r="R57" s="48">
        <f>IFERROR(IF(COS(RADIANS(OverlapSecondFloor[[#This Row],[Angular Direction]]))*OverlapSecondFloor[[#This Row],[Unit Change]]=0,R56,R56+COS(RADIANS(OverlapSecondFloor[[#This Row],[Angular Direction]]))*OverlapSecondFloor[[#This Row],[Unit Change]]),$R$35)</f>
        <v>0</v>
      </c>
      <c r="S57" s="48">
        <f>IFERROR(IF(SIN(RADIANS(OverlapSecondFloor[[#This Row],[Angular Direction]]))*OverlapSecondFloor[[#This Row],[Unit Change]]=0,S56,S56+SIN(RADIANS(OverlapSecondFloor[[#This Row],[Angular Direction]]))*OverlapSecondFloor[[#This Row],[Unit Change]]),$S$35)</f>
        <v>-10</v>
      </c>
      <c r="T57" s="48">
        <f>R56*OverlapSecondFloor[[#This Row],[Y-Axis]]-S56*OverlapSecondFloor[[#This Row],[X-Axis]]</f>
        <v>0</v>
      </c>
    </row>
    <row r="58" spans="1:20" x14ac:dyDescent="0.45">
      <c r="A58" s="37">
        <v>23</v>
      </c>
      <c r="B58" s="34"/>
      <c r="C58" s="35"/>
      <c r="D58" s="34"/>
      <c r="E58" s="34"/>
      <c r="F58" s="37">
        <f>SecondFloor[[#This Row],[Unit Change]]+$B$33*2</f>
        <v>0</v>
      </c>
      <c r="G58" s="37" t="str">
        <f>_xlfn.IFNA(IF(SecondFloor[[#This Row],[Custom Angular Direction]]="",INDEX(Direction[Degree],MATCH(SecondFloor[[#This Row],[Direction]],Direction[Direction],0)),SecondFloor[[#This Row],[Custom Angular Direction]]),"")</f>
        <v/>
      </c>
      <c r="H58" s="48">
        <f>IFERROR(IF(COS(RADIANS(SecondFloor[[#This Row],[Angular Direction]]))*SecondFloor[[#This Row],[Unit Change]]=0,H57,H57+COS(RADIANS(SecondFloor[[#This Row],[Angular Direction]]))*SecondFloor[[#This Row],[Unit Change]]),$H$35)</f>
        <v>0</v>
      </c>
      <c r="I58" s="48">
        <f>IFERROR(IF(SIN(RADIANS(SecondFloor[[#This Row],[Angular Direction]]))*SecondFloor[[#This Row],[Unit Change]]=0,I57,I57+SIN(RADIANS(SecondFloor[[#This Row],[Angular Direction]]))*SecondFloor[[#This Row],[Unit Change]]),$I$35)</f>
        <v>-10</v>
      </c>
      <c r="J58" s="48">
        <f>H57*SecondFloor[[#This Row],[Y-Axis]]-I57*SecondFloor[[#This Row],[X-Axis]]</f>
        <v>0</v>
      </c>
      <c r="L58" s="37">
        <v>23</v>
      </c>
      <c r="M58" s="34"/>
      <c r="N58" s="35"/>
      <c r="O58" s="55"/>
      <c r="P58" s="37">
        <f>OverlapSecondFloor[[#This Row],[Unit Change]]+$B$33*2</f>
        <v>0</v>
      </c>
      <c r="Q58" s="37" t="str">
        <f>_xlfn.IFNA(IF(OverlapSecondFloor[[#This Row],[Custom Angular Direction]]="",INDEX(Direction[Degree],MATCH(OverlapSecondFloor[[#This Row],[Direction]],Direction[Direction],0)),OverlapSecondFloor[[#This Row],[Custom Angular Direction]]),"")</f>
        <v/>
      </c>
      <c r="R58" s="48">
        <f>IFERROR(IF(COS(RADIANS(OverlapSecondFloor[[#This Row],[Angular Direction]]))*OverlapSecondFloor[[#This Row],[Unit Change]]=0,R57,R57+COS(RADIANS(OverlapSecondFloor[[#This Row],[Angular Direction]]))*OverlapSecondFloor[[#This Row],[Unit Change]]),$R$35)</f>
        <v>0</v>
      </c>
      <c r="S58" s="48">
        <f>IFERROR(IF(SIN(RADIANS(OverlapSecondFloor[[#This Row],[Angular Direction]]))*OverlapSecondFloor[[#This Row],[Unit Change]]=0,S57,S57+SIN(RADIANS(OverlapSecondFloor[[#This Row],[Angular Direction]]))*OverlapSecondFloor[[#This Row],[Unit Change]]),$S$35)</f>
        <v>-10</v>
      </c>
      <c r="T58" s="48">
        <f>R57*OverlapSecondFloor[[#This Row],[Y-Axis]]-S57*OverlapSecondFloor[[#This Row],[X-Axis]]</f>
        <v>0</v>
      </c>
    </row>
    <row r="59" spans="1:20" x14ac:dyDescent="0.45">
      <c r="A59" s="37">
        <v>24</v>
      </c>
      <c r="B59" s="34"/>
      <c r="C59" s="35"/>
      <c r="D59" s="34"/>
      <c r="E59" s="34"/>
      <c r="F59" s="37">
        <f>SecondFloor[[#This Row],[Unit Change]]+$B$33*2</f>
        <v>0</v>
      </c>
      <c r="G59" s="37" t="str">
        <f>_xlfn.IFNA(IF(SecondFloor[[#This Row],[Custom Angular Direction]]="",INDEX(Direction[Degree],MATCH(SecondFloor[[#This Row],[Direction]],Direction[Direction],0)),SecondFloor[[#This Row],[Custom Angular Direction]]),"")</f>
        <v/>
      </c>
      <c r="H59" s="48">
        <f>IFERROR(IF(COS(RADIANS(SecondFloor[[#This Row],[Angular Direction]]))*SecondFloor[[#This Row],[Unit Change]]=0,H58,H58+COS(RADIANS(SecondFloor[[#This Row],[Angular Direction]]))*SecondFloor[[#This Row],[Unit Change]]),$H$35)</f>
        <v>0</v>
      </c>
      <c r="I59" s="48">
        <f>IFERROR(IF(SIN(RADIANS(SecondFloor[[#This Row],[Angular Direction]]))*SecondFloor[[#This Row],[Unit Change]]=0,I58,I58+SIN(RADIANS(SecondFloor[[#This Row],[Angular Direction]]))*SecondFloor[[#This Row],[Unit Change]]),$I$35)</f>
        <v>-10</v>
      </c>
      <c r="J59" s="48">
        <f>H58*SecondFloor[[#This Row],[Y-Axis]]-I58*SecondFloor[[#This Row],[X-Axis]]</f>
        <v>0</v>
      </c>
      <c r="L59" s="37">
        <v>24</v>
      </c>
      <c r="M59" s="34"/>
      <c r="N59" s="35"/>
      <c r="O59" s="55"/>
      <c r="P59" s="37">
        <f>OverlapSecondFloor[[#This Row],[Unit Change]]+$B$33*2</f>
        <v>0</v>
      </c>
      <c r="Q59" s="37" t="str">
        <f>_xlfn.IFNA(IF(OverlapSecondFloor[[#This Row],[Custom Angular Direction]]="",INDEX(Direction[Degree],MATCH(OverlapSecondFloor[[#This Row],[Direction]],Direction[Direction],0)),OverlapSecondFloor[[#This Row],[Custom Angular Direction]]),"")</f>
        <v/>
      </c>
      <c r="R59" s="48">
        <f>IFERROR(IF(COS(RADIANS(OverlapSecondFloor[[#This Row],[Angular Direction]]))*OverlapSecondFloor[[#This Row],[Unit Change]]=0,R58,R58+COS(RADIANS(OverlapSecondFloor[[#This Row],[Angular Direction]]))*OverlapSecondFloor[[#This Row],[Unit Change]]),$R$35)</f>
        <v>0</v>
      </c>
      <c r="S59" s="48">
        <f>IFERROR(IF(SIN(RADIANS(OverlapSecondFloor[[#This Row],[Angular Direction]]))*OverlapSecondFloor[[#This Row],[Unit Change]]=0,S58,S58+SIN(RADIANS(OverlapSecondFloor[[#This Row],[Angular Direction]]))*OverlapSecondFloor[[#This Row],[Unit Change]]),$S$35)</f>
        <v>-10</v>
      </c>
      <c r="T59" s="48">
        <f>R58*OverlapSecondFloor[[#This Row],[Y-Axis]]-S58*OverlapSecondFloor[[#This Row],[X-Axis]]</f>
        <v>0</v>
      </c>
    </row>
    <row r="60" spans="1:20" x14ac:dyDescent="0.45">
      <c r="A60" s="37">
        <v>25</v>
      </c>
      <c r="B60" s="34"/>
      <c r="C60" s="35"/>
      <c r="D60" s="34"/>
      <c r="E60" s="34"/>
      <c r="F60" s="37">
        <f>SecondFloor[[#This Row],[Unit Change]]+$B$33*2</f>
        <v>0</v>
      </c>
      <c r="G60" s="37" t="str">
        <f>_xlfn.IFNA(IF(SecondFloor[[#This Row],[Custom Angular Direction]]="",INDEX(Direction[Degree],MATCH(SecondFloor[[#This Row],[Direction]],Direction[Direction],0)),SecondFloor[[#This Row],[Custom Angular Direction]]),"")</f>
        <v/>
      </c>
      <c r="H60" s="48">
        <f>IFERROR(IF(COS(RADIANS(SecondFloor[[#This Row],[Angular Direction]]))*SecondFloor[[#This Row],[Unit Change]]=0,H59,H59+COS(RADIANS(SecondFloor[[#This Row],[Angular Direction]]))*SecondFloor[[#This Row],[Unit Change]]),$H$35)</f>
        <v>0</v>
      </c>
      <c r="I60" s="48">
        <f>IFERROR(IF(SIN(RADIANS(SecondFloor[[#This Row],[Angular Direction]]))*SecondFloor[[#This Row],[Unit Change]]=0,I59,I59+SIN(RADIANS(SecondFloor[[#This Row],[Angular Direction]]))*SecondFloor[[#This Row],[Unit Change]]),$I$35)</f>
        <v>-10</v>
      </c>
      <c r="J60" s="48">
        <f>H59*SecondFloor[[#This Row],[Y-Axis]]-I59*SecondFloor[[#This Row],[X-Axis]]</f>
        <v>0</v>
      </c>
      <c r="L60" s="37">
        <v>25</v>
      </c>
      <c r="M60" s="34"/>
      <c r="N60" s="35"/>
      <c r="O60" s="55"/>
      <c r="P60" s="37">
        <f>OverlapSecondFloor[[#This Row],[Unit Change]]+$B$33*2</f>
        <v>0</v>
      </c>
      <c r="Q60" s="37" t="str">
        <f>_xlfn.IFNA(IF(OverlapSecondFloor[[#This Row],[Custom Angular Direction]]="",INDEX(Direction[Degree],MATCH(OverlapSecondFloor[[#This Row],[Direction]],Direction[Direction],0)),OverlapSecondFloor[[#This Row],[Custom Angular Direction]]),"")</f>
        <v/>
      </c>
      <c r="R60" s="48">
        <f>IFERROR(IF(COS(RADIANS(OverlapSecondFloor[[#This Row],[Angular Direction]]))*OverlapSecondFloor[[#This Row],[Unit Change]]=0,R59,R59+COS(RADIANS(OverlapSecondFloor[[#This Row],[Angular Direction]]))*OverlapSecondFloor[[#This Row],[Unit Change]]),$R$35)</f>
        <v>0</v>
      </c>
      <c r="S60" s="48">
        <f>IFERROR(IF(SIN(RADIANS(OverlapSecondFloor[[#This Row],[Angular Direction]]))*OverlapSecondFloor[[#This Row],[Unit Change]]=0,S59,S59+SIN(RADIANS(OverlapSecondFloor[[#This Row],[Angular Direction]]))*OverlapSecondFloor[[#This Row],[Unit Change]]),$S$35)</f>
        <v>-10</v>
      </c>
      <c r="T60" s="48">
        <f>R59*OverlapSecondFloor[[#This Row],[Y-Axis]]-S59*OverlapSecondFloor[[#This Row],[X-Axis]]</f>
        <v>0</v>
      </c>
    </row>
    <row r="61" spans="1:20" x14ac:dyDescent="0.45">
      <c r="A61" s="37">
        <v>26</v>
      </c>
      <c r="B61" s="34"/>
      <c r="C61" s="35"/>
      <c r="D61" s="34"/>
      <c r="E61" s="34"/>
      <c r="F61" s="37">
        <f>SecondFloor[[#This Row],[Unit Change]]+$B$33*2</f>
        <v>0</v>
      </c>
      <c r="G61" s="37" t="str">
        <f>_xlfn.IFNA(IF(SecondFloor[[#This Row],[Custom Angular Direction]]="",INDEX(Direction[Degree],MATCH(SecondFloor[[#This Row],[Direction]],Direction[Direction],0)),SecondFloor[[#This Row],[Custom Angular Direction]]),"")</f>
        <v/>
      </c>
      <c r="H61" s="48">
        <f>IFERROR(IF(COS(RADIANS(SecondFloor[[#This Row],[Angular Direction]]))*SecondFloor[[#This Row],[Unit Change]]=0,H60,H60+COS(RADIANS(SecondFloor[[#This Row],[Angular Direction]]))*SecondFloor[[#This Row],[Unit Change]]),$H$35)</f>
        <v>0</v>
      </c>
      <c r="I61" s="48">
        <f>IFERROR(IF(SIN(RADIANS(SecondFloor[[#This Row],[Angular Direction]]))*SecondFloor[[#This Row],[Unit Change]]=0,I60,I60+SIN(RADIANS(SecondFloor[[#This Row],[Angular Direction]]))*SecondFloor[[#This Row],[Unit Change]]),$I$35)</f>
        <v>-10</v>
      </c>
      <c r="J61" s="48">
        <f>H60*SecondFloor[[#This Row],[Y-Axis]]-I60*SecondFloor[[#This Row],[X-Axis]]</f>
        <v>0</v>
      </c>
      <c r="L61" s="37">
        <v>26</v>
      </c>
      <c r="M61" s="34"/>
      <c r="N61" s="35"/>
      <c r="O61" s="55"/>
      <c r="P61" s="37">
        <f>OverlapSecondFloor[[#This Row],[Unit Change]]+$B$33*2</f>
        <v>0</v>
      </c>
      <c r="Q61" s="37" t="str">
        <f>_xlfn.IFNA(IF(OverlapSecondFloor[[#This Row],[Custom Angular Direction]]="",INDEX(Direction[Degree],MATCH(OverlapSecondFloor[[#This Row],[Direction]],Direction[Direction],0)),OverlapSecondFloor[[#This Row],[Custom Angular Direction]]),"")</f>
        <v/>
      </c>
      <c r="R61" s="48">
        <f>IFERROR(IF(COS(RADIANS(OverlapSecondFloor[[#This Row],[Angular Direction]]))*OverlapSecondFloor[[#This Row],[Unit Change]]=0,R60,R60+COS(RADIANS(OverlapSecondFloor[[#This Row],[Angular Direction]]))*OverlapSecondFloor[[#This Row],[Unit Change]]),$R$35)</f>
        <v>0</v>
      </c>
      <c r="S61" s="48">
        <f>IFERROR(IF(SIN(RADIANS(OverlapSecondFloor[[#This Row],[Angular Direction]]))*OverlapSecondFloor[[#This Row],[Unit Change]]=0,S60,S60+SIN(RADIANS(OverlapSecondFloor[[#This Row],[Angular Direction]]))*OverlapSecondFloor[[#This Row],[Unit Change]]),$S$35)</f>
        <v>-10</v>
      </c>
      <c r="T61" s="48">
        <f>R60*OverlapSecondFloor[[#This Row],[Y-Axis]]-S60*OverlapSecondFloor[[#This Row],[X-Axis]]</f>
        <v>0</v>
      </c>
    </row>
    <row r="62" spans="1:20" x14ac:dyDescent="0.45">
      <c r="A62" s="37">
        <v>27</v>
      </c>
      <c r="B62" s="34"/>
      <c r="C62" s="35"/>
      <c r="D62" s="34"/>
      <c r="E62" s="34"/>
      <c r="F62" s="37">
        <f>SecondFloor[[#This Row],[Unit Change]]+$B$33*2</f>
        <v>0</v>
      </c>
      <c r="G62" s="37" t="str">
        <f>_xlfn.IFNA(IF(SecondFloor[[#This Row],[Custom Angular Direction]]="",INDEX(Direction[Degree],MATCH(SecondFloor[[#This Row],[Direction]],Direction[Direction],0)),SecondFloor[[#This Row],[Custom Angular Direction]]),"")</f>
        <v/>
      </c>
      <c r="H62" s="48">
        <f>IFERROR(IF(COS(RADIANS(SecondFloor[[#This Row],[Angular Direction]]))*SecondFloor[[#This Row],[Unit Change]]=0,H61,H61+COS(RADIANS(SecondFloor[[#This Row],[Angular Direction]]))*SecondFloor[[#This Row],[Unit Change]]),$H$35)</f>
        <v>0</v>
      </c>
      <c r="I62" s="48">
        <f>IFERROR(IF(SIN(RADIANS(SecondFloor[[#This Row],[Angular Direction]]))*SecondFloor[[#This Row],[Unit Change]]=0,I61,I61+SIN(RADIANS(SecondFloor[[#This Row],[Angular Direction]]))*SecondFloor[[#This Row],[Unit Change]]),$I$35)</f>
        <v>-10</v>
      </c>
      <c r="J62" s="48">
        <f>H61*SecondFloor[[#This Row],[Y-Axis]]-I61*SecondFloor[[#This Row],[X-Axis]]</f>
        <v>0</v>
      </c>
      <c r="L62" s="37">
        <v>27</v>
      </c>
      <c r="M62" s="34"/>
      <c r="N62" s="35"/>
      <c r="O62" s="55"/>
      <c r="P62" s="37">
        <f>OverlapSecondFloor[[#This Row],[Unit Change]]+$B$33*2</f>
        <v>0</v>
      </c>
      <c r="Q62" s="37" t="str">
        <f>_xlfn.IFNA(IF(OverlapSecondFloor[[#This Row],[Custom Angular Direction]]="",INDEX(Direction[Degree],MATCH(OverlapSecondFloor[[#This Row],[Direction]],Direction[Direction],0)),OverlapSecondFloor[[#This Row],[Custom Angular Direction]]),"")</f>
        <v/>
      </c>
      <c r="R62" s="48">
        <f>IFERROR(IF(COS(RADIANS(OverlapSecondFloor[[#This Row],[Angular Direction]]))*OverlapSecondFloor[[#This Row],[Unit Change]]=0,R61,R61+COS(RADIANS(OverlapSecondFloor[[#This Row],[Angular Direction]]))*OverlapSecondFloor[[#This Row],[Unit Change]]),$R$35)</f>
        <v>0</v>
      </c>
      <c r="S62" s="48">
        <f>IFERROR(IF(SIN(RADIANS(OverlapSecondFloor[[#This Row],[Angular Direction]]))*OverlapSecondFloor[[#This Row],[Unit Change]]=0,S61,S61+SIN(RADIANS(OverlapSecondFloor[[#This Row],[Angular Direction]]))*OverlapSecondFloor[[#This Row],[Unit Change]]),$S$35)</f>
        <v>-10</v>
      </c>
      <c r="T62" s="48">
        <f>R61*OverlapSecondFloor[[#This Row],[Y-Axis]]-S61*OverlapSecondFloor[[#This Row],[X-Axis]]</f>
        <v>0</v>
      </c>
    </row>
    <row r="63" spans="1:20" x14ac:dyDescent="0.45">
      <c r="A63" s="37">
        <v>28</v>
      </c>
      <c r="B63" s="34"/>
      <c r="C63" s="35"/>
      <c r="D63" s="34"/>
      <c r="E63" s="34"/>
      <c r="F63" s="37">
        <f>SecondFloor[[#This Row],[Unit Change]]+$B$33*2</f>
        <v>0</v>
      </c>
      <c r="G63" s="37" t="str">
        <f>_xlfn.IFNA(IF(SecondFloor[[#This Row],[Custom Angular Direction]]="",INDEX(Direction[Degree],MATCH(SecondFloor[[#This Row],[Direction]],Direction[Direction],0)),SecondFloor[[#This Row],[Custom Angular Direction]]),"")</f>
        <v/>
      </c>
      <c r="H63" s="48">
        <f>IFERROR(IF(COS(RADIANS(SecondFloor[[#This Row],[Angular Direction]]))*SecondFloor[[#This Row],[Unit Change]]=0,H62,H62+COS(RADIANS(SecondFloor[[#This Row],[Angular Direction]]))*SecondFloor[[#This Row],[Unit Change]]),$H$35)</f>
        <v>0</v>
      </c>
      <c r="I63" s="48">
        <f>IFERROR(IF(SIN(RADIANS(SecondFloor[[#This Row],[Angular Direction]]))*SecondFloor[[#This Row],[Unit Change]]=0,I62,I62+SIN(RADIANS(SecondFloor[[#This Row],[Angular Direction]]))*SecondFloor[[#This Row],[Unit Change]]),$I$35)</f>
        <v>-10</v>
      </c>
      <c r="J63" s="48">
        <f>H62*SecondFloor[[#This Row],[Y-Axis]]-I62*SecondFloor[[#This Row],[X-Axis]]</f>
        <v>0</v>
      </c>
      <c r="L63" s="37">
        <v>28</v>
      </c>
      <c r="M63" s="34"/>
      <c r="N63" s="35"/>
      <c r="O63" s="55"/>
      <c r="P63" s="37">
        <f>OverlapSecondFloor[[#This Row],[Unit Change]]+$B$33*2</f>
        <v>0</v>
      </c>
      <c r="Q63" s="37" t="str">
        <f>_xlfn.IFNA(IF(OverlapSecondFloor[[#This Row],[Custom Angular Direction]]="",INDEX(Direction[Degree],MATCH(OverlapSecondFloor[[#This Row],[Direction]],Direction[Direction],0)),OverlapSecondFloor[[#This Row],[Custom Angular Direction]]),"")</f>
        <v/>
      </c>
      <c r="R63" s="48">
        <f>IFERROR(IF(COS(RADIANS(OverlapSecondFloor[[#This Row],[Angular Direction]]))*OverlapSecondFloor[[#This Row],[Unit Change]]=0,R62,R62+COS(RADIANS(OverlapSecondFloor[[#This Row],[Angular Direction]]))*OverlapSecondFloor[[#This Row],[Unit Change]]),$R$35)</f>
        <v>0</v>
      </c>
      <c r="S63" s="48">
        <f>IFERROR(IF(SIN(RADIANS(OverlapSecondFloor[[#This Row],[Angular Direction]]))*OverlapSecondFloor[[#This Row],[Unit Change]]=0,S62,S62+SIN(RADIANS(OverlapSecondFloor[[#This Row],[Angular Direction]]))*OverlapSecondFloor[[#This Row],[Unit Change]]),$S$35)</f>
        <v>-10</v>
      </c>
      <c r="T63" s="48">
        <f>R62*OverlapSecondFloor[[#This Row],[Y-Axis]]-S62*OverlapSecondFloor[[#This Row],[X-Axis]]</f>
        <v>0</v>
      </c>
    </row>
    <row r="64" spans="1:20" x14ac:dyDescent="0.45">
      <c r="A64" s="37">
        <v>29</v>
      </c>
      <c r="B64" s="34"/>
      <c r="C64" s="35"/>
      <c r="D64" s="34"/>
      <c r="E64" s="34"/>
      <c r="F64" s="37">
        <f>SecondFloor[[#This Row],[Unit Change]]+$B$33*2</f>
        <v>0</v>
      </c>
      <c r="G64" s="37" t="str">
        <f>_xlfn.IFNA(IF(SecondFloor[[#This Row],[Custom Angular Direction]]="",INDEX(Direction[Degree],MATCH(SecondFloor[[#This Row],[Direction]],Direction[Direction],0)),SecondFloor[[#This Row],[Custom Angular Direction]]),"")</f>
        <v/>
      </c>
      <c r="H64" s="48">
        <f>IFERROR(IF(COS(RADIANS(SecondFloor[[#This Row],[Angular Direction]]))*SecondFloor[[#This Row],[Unit Change]]=0,H63,H63+COS(RADIANS(SecondFloor[[#This Row],[Angular Direction]]))*SecondFloor[[#This Row],[Unit Change]]),$H$35)</f>
        <v>0</v>
      </c>
      <c r="I64" s="48">
        <f>IFERROR(IF(SIN(RADIANS(SecondFloor[[#This Row],[Angular Direction]]))*SecondFloor[[#This Row],[Unit Change]]=0,I63,I63+SIN(RADIANS(SecondFloor[[#This Row],[Angular Direction]]))*SecondFloor[[#This Row],[Unit Change]]),$I$35)</f>
        <v>-10</v>
      </c>
      <c r="J64" s="48">
        <f>H63*SecondFloor[[#This Row],[Y-Axis]]-I63*SecondFloor[[#This Row],[X-Axis]]</f>
        <v>0</v>
      </c>
      <c r="L64" s="37">
        <v>29</v>
      </c>
      <c r="M64" s="34"/>
      <c r="N64" s="35"/>
      <c r="O64" s="55"/>
      <c r="P64" s="37">
        <f>OverlapSecondFloor[[#This Row],[Unit Change]]+$B$33*2</f>
        <v>0</v>
      </c>
      <c r="Q64" s="37" t="str">
        <f>_xlfn.IFNA(IF(OverlapSecondFloor[[#This Row],[Custom Angular Direction]]="",INDEX(Direction[Degree],MATCH(OverlapSecondFloor[[#This Row],[Direction]],Direction[Direction],0)),OverlapSecondFloor[[#This Row],[Custom Angular Direction]]),"")</f>
        <v/>
      </c>
      <c r="R64" s="48">
        <f>IFERROR(IF(COS(RADIANS(OverlapSecondFloor[[#This Row],[Angular Direction]]))*OverlapSecondFloor[[#This Row],[Unit Change]]=0,R63,R63+COS(RADIANS(OverlapSecondFloor[[#This Row],[Angular Direction]]))*OverlapSecondFloor[[#This Row],[Unit Change]]),$R$35)</f>
        <v>0</v>
      </c>
      <c r="S64" s="48">
        <f>IFERROR(IF(SIN(RADIANS(OverlapSecondFloor[[#This Row],[Angular Direction]]))*OverlapSecondFloor[[#This Row],[Unit Change]]=0,S63,S63+SIN(RADIANS(OverlapSecondFloor[[#This Row],[Angular Direction]]))*OverlapSecondFloor[[#This Row],[Unit Change]]),$S$35)</f>
        <v>-10</v>
      </c>
      <c r="T64" s="48">
        <f>R63*OverlapSecondFloor[[#This Row],[Y-Axis]]-S63*OverlapSecondFloor[[#This Row],[X-Axis]]</f>
        <v>0</v>
      </c>
    </row>
    <row r="65" spans="1:20" x14ac:dyDescent="0.45">
      <c r="A65" s="37">
        <v>30</v>
      </c>
      <c r="B65" s="34"/>
      <c r="C65" s="35"/>
      <c r="D65" s="34"/>
      <c r="E65" s="34"/>
      <c r="F65" s="37">
        <f>SecondFloor[[#This Row],[Unit Change]]+$B$33*2</f>
        <v>0</v>
      </c>
      <c r="G65" s="37" t="str">
        <f>_xlfn.IFNA(IF(SecondFloor[[#This Row],[Custom Angular Direction]]="",INDEX(Direction[Degree],MATCH(SecondFloor[[#This Row],[Direction]],Direction[Direction],0)),SecondFloor[[#This Row],[Custom Angular Direction]]),"")</f>
        <v/>
      </c>
      <c r="H65" s="48">
        <f>IFERROR(IF(COS(RADIANS(SecondFloor[[#This Row],[Angular Direction]]))*SecondFloor[[#This Row],[Unit Change]]=0,H64,H64+COS(RADIANS(SecondFloor[[#This Row],[Angular Direction]]))*SecondFloor[[#This Row],[Unit Change]]),$H$35)</f>
        <v>0</v>
      </c>
      <c r="I65" s="48">
        <f>IFERROR(IF(SIN(RADIANS(SecondFloor[[#This Row],[Angular Direction]]))*SecondFloor[[#This Row],[Unit Change]]=0,I64,I64+SIN(RADIANS(SecondFloor[[#This Row],[Angular Direction]]))*SecondFloor[[#This Row],[Unit Change]]),$I$35)</f>
        <v>-10</v>
      </c>
      <c r="J65" s="48">
        <f>H64*SecondFloor[[#This Row],[Y-Axis]]-I64*SecondFloor[[#This Row],[X-Axis]]</f>
        <v>0</v>
      </c>
      <c r="L65" s="37">
        <v>30</v>
      </c>
      <c r="M65" s="34"/>
      <c r="N65" s="35"/>
      <c r="O65" s="55"/>
      <c r="P65" s="37">
        <f>OverlapSecondFloor[[#This Row],[Unit Change]]+$B$33*2</f>
        <v>0</v>
      </c>
      <c r="Q65" s="37" t="str">
        <f>_xlfn.IFNA(IF(OverlapSecondFloor[[#This Row],[Custom Angular Direction]]="",INDEX(Direction[Degree],MATCH(OverlapSecondFloor[[#This Row],[Direction]],Direction[Direction],0)),OverlapSecondFloor[[#This Row],[Custom Angular Direction]]),"")</f>
        <v/>
      </c>
      <c r="R65" s="48">
        <f>IFERROR(IF(COS(RADIANS(OverlapSecondFloor[[#This Row],[Angular Direction]]))*OverlapSecondFloor[[#This Row],[Unit Change]]=0,R64,R64+COS(RADIANS(OverlapSecondFloor[[#This Row],[Angular Direction]]))*OverlapSecondFloor[[#This Row],[Unit Change]]),$R$35)</f>
        <v>0</v>
      </c>
      <c r="S65" s="48">
        <f>IFERROR(IF(SIN(RADIANS(OverlapSecondFloor[[#This Row],[Angular Direction]]))*OverlapSecondFloor[[#This Row],[Unit Change]]=0,S64,S64+SIN(RADIANS(OverlapSecondFloor[[#This Row],[Angular Direction]]))*OverlapSecondFloor[[#This Row],[Unit Change]]),$S$35)</f>
        <v>-10</v>
      </c>
      <c r="T65" s="48">
        <f>R64*OverlapSecondFloor[[#This Row],[Y-Axis]]-S64*OverlapSecondFloor[[#This Row],[X-Axis]]</f>
        <v>0</v>
      </c>
    </row>
    <row r="66" spans="1:20" x14ac:dyDescent="0.45">
      <c r="A66" s="37">
        <v>31</v>
      </c>
      <c r="B66" s="34"/>
      <c r="C66" s="35"/>
      <c r="D66" s="34"/>
      <c r="E66" s="34"/>
      <c r="F66" s="37">
        <f>SecondFloor[[#This Row],[Unit Change]]+$B$33*2</f>
        <v>0</v>
      </c>
      <c r="G66" s="37" t="str">
        <f>_xlfn.IFNA(IF(SecondFloor[[#This Row],[Custom Angular Direction]]="",INDEX(Direction[Degree],MATCH(SecondFloor[[#This Row],[Direction]],Direction[Direction],0)),SecondFloor[[#This Row],[Custom Angular Direction]]),"")</f>
        <v/>
      </c>
      <c r="H66" s="48">
        <f>IFERROR(IF(COS(RADIANS(SecondFloor[[#This Row],[Angular Direction]]))*SecondFloor[[#This Row],[Unit Change]]=0,H65,H65+COS(RADIANS(SecondFloor[[#This Row],[Angular Direction]]))*SecondFloor[[#This Row],[Unit Change]]),$H$35)</f>
        <v>0</v>
      </c>
      <c r="I66" s="48">
        <f>IFERROR(IF(SIN(RADIANS(SecondFloor[[#This Row],[Angular Direction]]))*SecondFloor[[#This Row],[Unit Change]]=0,I65,I65+SIN(RADIANS(SecondFloor[[#This Row],[Angular Direction]]))*SecondFloor[[#This Row],[Unit Change]]),$I$35)</f>
        <v>-10</v>
      </c>
      <c r="J66" s="48">
        <f>H65*SecondFloor[[#This Row],[Y-Axis]]-I65*SecondFloor[[#This Row],[X-Axis]]</f>
        <v>0</v>
      </c>
      <c r="L66" s="37">
        <v>31</v>
      </c>
      <c r="M66" s="34"/>
      <c r="N66" s="35"/>
      <c r="O66" s="55"/>
      <c r="P66" s="37">
        <f>OverlapSecondFloor[[#This Row],[Unit Change]]+$B$33*2</f>
        <v>0</v>
      </c>
      <c r="Q66" s="37" t="str">
        <f>_xlfn.IFNA(IF(OverlapSecondFloor[[#This Row],[Custom Angular Direction]]="",INDEX(Direction[Degree],MATCH(OverlapSecondFloor[[#This Row],[Direction]],Direction[Direction],0)),OverlapSecondFloor[[#This Row],[Custom Angular Direction]]),"")</f>
        <v/>
      </c>
      <c r="R66" s="48">
        <f>IFERROR(IF(COS(RADIANS(OverlapSecondFloor[[#This Row],[Angular Direction]]))*OverlapSecondFloor[[#This Row],[Unit Change]]=0,R65,R65+COS(RADIANS(OverlapSecondFloor[[#This Row],[Angular Direction]]))*OverlapSecondFloor[[#This Row],[Unit Change]]),$R$35)</f>
        <v>0</v>
      </c>
      <c r="S66" s="48">
        <f>IFERROR(IF(SIN(RADIANS(OverlapSecondFloor[[#This Row],[Angular Direction]]))*OverlapSecondFloor[[#This Row],[Unit Change]]=0,S65,S65+SIN(RADIANS(OverlapSecondFloor[[#This Row],[Angular Direction]]))*OverlapSecondFloor[[#This Row],[Unit Change]]),$S$35)</f>
        <v>-10</v>
      </c>
      <c r="T66" s="48">
        <f>R65*OverlapSecondFloor[[#This Row],[Y-Axis]]-S65*OverlapSecondFloor[[#This Row],[X-Axis]]</f>
        <v>0</v>
      </c>
    </row>
    <row r="67" spans="1:20" x14ac:dyDescent="0.45">
      <c r="G67" s="48"/>
      <c r="H67" s="48"/>
      <c r="I67" s="48"/>
      <c r="J67" s="48"/>
    </row>
    <row r="68" spans="1:20" x14ac:dyDescent="0.45">
      <c r="G68" s="48"/>
      <c r="H68" s="48"/>
      <c r="I68" s="48"/>
      <c r="J68" s="48"/>
    </row>
    <row r="69" spans="1:20" x14ac:dyDescent="0.45">
      <c r="G69" s="48"/>
      <c r="H69" s="48"/>
      <c r="I69" s="48"/>
      <c r="J69" s="48"/>
    </row>
    <row r="70" spans="1:20" x14ac:dyDescent="0.45">
      <c r="G70" s="48"/>
      <c r="H70" s="48"/>
      <c r="I70" s="48"/>
      <c r="J70" s="48"/>
    </row>
    <row r="71" spans="1:20" x14ac:dyDescent="0.45">
      <c r="G71" s="48"/>
      <c r="H71" s="48"/>
      <c r="I71" s="48"/>
      <c r="J71" s="48"/>
    </row>
    <row r="72" spans="1:20" x14ac:dyDescent="0.45">
      <c r="G72" s="48"/>
      <c r="H72" s="48"/>
      <c r="I72" s="48"/>
      <c r="J72" s="48"/>
    </row>
    <row r="73" spans="1:20" x14ac:dyDescent="0.45">
      <c r="G73" s="48"/>
      <c r="H73" s="48"/>
      <c r="I73" s="48"/>
      <c r="J73" s="48"/>
    </row>
    <row r="74" spans="1:20" x14ac:dyDescent="0.45">
      <c r="G74" s="48"/>
      <c r="H74" s="48"/>
      <c r="I74" s="48"/>
      <c r="J74" s="48"/>
    </row>
    <row r="75" spans="1:20" x14ac:dyDescent="0.45">
      <c r="G75" s="48"/>
      <c r="H75" s="48"/>
      <c r="I75" s="48"/>
      <c r="J75" s="48"/>
    </row>
    <row r="76" spans="1:20" x14ac:dyDescent="0.45">
      <c r="G76" s="48"/>
      <c r="H76" s="48"/>
      <c r="I76" s="48"/>
      <c r="J76" s="48"/>
    </row>
    <row r="77" spans="1:20" x14ac:dyDescent="0.45">
      <c r="G77" s="48"/>
      <c r="H77" s="48"/>
      <c r="I77" s="48"/>
      <c r="J77" s="48"/>
    </row>
    <row r="78" spans="1:20" x14ac:dyDescent="0.45">
      <c r="G78" s="48"/>
      <c r="H78" s="48"/>
      <c r="I78" s="48"/>
      <c r="J78" s="48"/>
    </row>
    <row r="79" spans="1:20" x14ac:dyDescent="0.45">
      <c r="G79" s="48"/>
      <c r="H79" s="48"/>
      <c r="I79" s="48"/>
      <c r="J79" s="48"/>
    </row>
    <row r="80" spans="1:20" x14ac:dyDescent="0.45">
      <c r="G80" s="48"/>
      <c r="H80" s="48"/>
      <c r="I80" s="48"/>
      <c r="J80" s="48"/>
    </row>
    <row r="81" spans="7:10" x14ac:dyDescent="0.45">
      <c r="G81" s="48"/>
      <c r="H81" s="48"/>
      <c r="I81" s="48"/>
      <c r="J81" s="48"/>
    </row>
    <row r="82" spans="7:10" x14ac:dyDescent="0.45">
      <c r="G82" s="48"/>
      <c r="H82" s="48"/>
      <c r="I82" s="48"/>
      <c r="J82" s="48"/>
    </row>
    <row r="83" spans="7:10" x14ac:dyDescent="0.45">
      <c r="G83" s="48"/>
      <c r="H83" s="48"/>
      <c r="I83" s="48"/>
      <c r="J83" s="48"/>
    </row>
    <row r="84" spans="7:10" x14ac:dyDescent="0.45">
      <c r="G84" s="48"/>
      <c r="H84" s="48"/>
      <c r="I84" s="48"/>
      <c r="J84" s="48"/>
    </row>
    <row r="85" spans="7:10" x14ac:dyDescent="0.45">
      <c r="G85" s="48"/>
      <c r="H85" s="48"/>
      <c r="I85" s="48"/>
      <c r="J85" s="48"/>
    </row>
    <row r="86" spans="7:10" x14ac:dyDescent="0.45">
      <c r="G86" s="48"/>
      <c r="H86" s="48"/>
      <c r="I86" s="48"/>
      <c r="J86" s="48"/>
    </row>
    <row r="87" spans="7:10" x14ac:dyDescent="0.45">
      <c r="G87" s="48"/>
      <c r="H87" s="48"/>
      <c r="I87" s="48"/>
      <c r="J87" s="48"/>
    </row>
    <row r="88" spans="7:10" x14ac:dyDescent="0.45">
      <c r="G88" s="48"/>
      <c r="H88" s="48"/>
      <c r="I88" s="48"/>
      <c r="J88" s="48"/>
    </row>
    <row r="89" spans="7:10" x14ac:dyDescent="0.45">
      <c r="G89" s="48"/>
      <c r="H89" s="48"/>
      <c r="I89" s="48"/>
      <c r="J89" s="48"/>
    </row>
    <row r="90" spans="7:10" x14ac:dyDescent="0.45">
      <c r="G90" s="48"/>
      <c r="H90" s="48"/>
      <c r="I90" s="48"/>
      <c r="J90" s="48"/>
    </row>
    <row r="91" spans="7:10" x14ac:dyDescent="0.45">
      <c r="G91" s="48"/>
      <c r="H91" s="48"/>
      <c r="I91" s="48"/>
      <c r="J91" s="48"/>
    </row>
    <row r="92" spans="7:10" x14ac:dyDescent="0.45">
      <c r="G92" s="48"/>
      <c r="H92" s="48"/>
      <c r="I92" s="48"/>
      <c r="J92" s="48"/>
    </row>
    <row r="93" spans="7:10" x14ac:dyDescent="0.45">
      <c r="G93" s="48"/>
      <c r="H93" s="48"/>
      <c r="I93" s="48"/>
      <c r="J93" s="48"/>
    </row>
    <row r="94" spans="7:10" x14ac:dyDescent="0.45">
      <c r="G94" s="48"/>
      <c r="H94" s="48"/>
      <c r="I94" s="48"/>
      <c r="J94" s="48"/>
    </row>
    <row r="95" spans="7:10" x14ac:dyDescent="0.45">
      <c r="G95" s="48"/>
      <c r="H95" s="48"/>
      <c r="I95" s="48"/>
      <c r="J95" s="48"/>
    </row>
    <row r="96" spans="7:10" x14ac:dyDescent="0.45">
      <c r="G96" s="48"/>
      <c r="H96" s="48"/>
      <c r="I96" s="48"/>
      <c r="J96" s="48"/>
    </row>
    <row r="97" spans="7:10" x14ac:dyDescent="0.45">
      <c r="G97" s="48"/>
      <c r="H97" s="48"/>
      <c r="I97" s="48"/>
      <c r="J97" s="48"/>
    </row>
    <row r="98" spans="7:10" x14ac:dyDescent="0.45">
      <c r="G98" s="48"/>
      <c r="H98" s="48"/>
      <c r="I98" s="48"/>
      <c r="J98" s="48"/>
    </row>
    <row r="99" spans="7:10" x14ac:dyDescent="0.45">
      <c r="G99" s="48"/>
      <c r="H99" s="48"/>
      <c r="I99" s="48"/>
      <c r="J99" s="48"/>
    </row>
    <row r="100" spans="7:10" x14ac:dyDescent="0.45">
      <c r="G100" s="48"/>
      <c r="H100" s="48"/>
      <c r="I100" s="48"/>
      <c r="J100" s="48"/>
    </row>
    <row r="101" spans="7:10" x14ac:dyDescent="0.45">
      <c r="G101" s="48"/>
      <c r="H101" s="48"/>
      <c r="I101" s="48"/>
      <c r="J101" s="48"/>
    </row>
  </sheetData>
  <mergeCells count="3">
    <mergeCell ref="A9:C9"/>
    <mergeCell ref="L32:T32"/>
    <mergeCell ref="A32:J32"/>
  </mergeCells>
  <dataValidations count="2">
    <dataValidation type="list" allowBlank="1" showInputMessage="1" showErrorMessage="1" sqref="B5:B6" xr:uid="{8450C6B0-6843-4DCB-A700-53BA9693496A}">
      <formula1>"Yes,No"</formula1>
    </dataValidation>
    <dataValidation type="list" allowBlank="1" showInputMessage="1" showErrorMessage="1" sqref="E36:E66" xr:uid="{549B0207-1830-41C7-A0AB-E560CFFA5641}">
      <formula1>$A$15:$A$20</formula1>
    </dataValidation>
  </dataValidations>
  <pageMargins left="0.7" right="0.7" top="0.75" bottom="0.75" header="0.3" footer="0.3"/>
  <pageSetup orientation="portrait" horizontalDpi="1200" verticalDpi="1200" r:id="rId1"/>
  <drawing r:id="rId2"/>
  <tableParts count="4">
    <tablePart r:id="rId3"/>
    <tablePart r:id="rId4"/>
    <tablePart r:id="rId5"/>
    <tablePart r:id="rId6"/>
  </tableParts>
  <extLst>
    <ext xmlns:x14="http://schemas.microsoft.com/office/spreadsheetml/2009/9/main" uri="{CCE6A557-97BC-4b89-ADB6-D9C93CAAB3DF}">
      <x14:dataValidations xmlns:xm="http://schemas.microsoft.com/office/excel/2006/main" count="3">
        <x14:dataValidation type="list" allowBlank="1" showInputMessage="1" showErrorMessage="1" xr:uid="{A209E949-C7CD-4344-A56F-8554E79D296C}">
          <x14:formula1>
            <xm:f>Reference!$A$2:$A$9</xm:f>
          </x14:formula1>
          <xm:sqref>D67:D101</xm:sqref>
        </x14:dataValidation>
        <x14:dataValidation type="list" allowBlank="1" showInputMessage="1" showErrorMessage="1" xr:uid="{1A342208-8F9D-45AB-9701-64C46BC6C143}">
          <x14:formula1>
            <xm:f>Reference!$A$2:$A$10</xm:f>
          </x14:formula1>
          <xm:sqref>C40:C66 N42:N66</xm:sqref>
        </x14:dataValidation>
        <x14:dataValidation type="list" allowBlank="1" showInputMessage="1" showErrorMessage="1" xr:uid="{91083959-1E32-4292-9D52-77E65785AB28}">
          <x14:formula1>
            <xm:f>'[Plan take off tool.xlsx]Reference'!#REF!</xm:f>
          </x14:formula1>
          <xm:sqref>C36:C39 N36:N41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55C22-8CD7-4215-95D2-5AAC3FF8470E}">
  <sheetPr codeName="Sheet5"/>
  <dimension ref="A1:T101"/>
  <sheetViews>
    <sheetView workbookViewId="0">
      <selection activeCell="B5" sqref="B5"/>
    </sheetView>
  </sheetViews>
  <sheetFormatPr defaultRowHeight="14.25" x14ac:dyDescent="0.45"/>
  <cols>
    <col min="1" max="1" width="30.86328125" style="37" bestFit="1" customWidth="1"/>
    <col min="2" max="2" width="13.53125" style="37" bestFit="1" customWidth="1"/>
    <col min="3" max="3" width="13.53125" style="37" customWidth="1"/>
    <col min="4" max="4" width="12.73046875" style="37" customWidth="1"/>
    <col min="5" max="5" width="16.86328125" style="37" bestFit="1" customWidth="1"/>
    <col min="6" max="6" width="24.59765625" style="37" bestFit="1" customWidth="1"/>
    <col min="7" max="8" width="10.59765625" style="37" customWidth="1"/>
    <col min="9" max="10" width="11.265625" style="37" customWidth="1"/>
    <col min="11" max="11" width="7.53125" style="37" bestFit="1" customWidth="1"/>
    <col min="12" max="12" width="13.265625" style="37" bestFit="1" customWidth="1"/>
    <col min="13" max="13" width="15" style="37" bestFit="1" customWidth="1"/>
    <col min="14" max="14" width="12.73046875" style="37" bestFit="1" customWidth="1"/>
    <col min="15" max="15" width="17.6640625" style="37" bestFit="1" customWidth="1"/>
    <col min="16" max="16" width="24.59765625" style="37" bestFit="1" customWidth="1"/>
    <col min="17" max="18" width="8.33203125" style="37" bestFit="1" customWidth="1"/>
    <col min="19" max="19" width="10.86328125" style="37" bestFit="1" customWidth="1"/>
    <col min="20" max="16384" width="9.06640625" style="37"/>
  </cols>
  <sheetData>
    <row r="1" spans="1:3" ht="14.65" thickBot="1" x14ac:dyDescent="0.5"/>
    <row r="2" spans="1:3" x14ac:dyDescent="0.45">
      <c r="A2" s="38" t="s">
        <v>33</v>
      </c>
      <c r="B2" s="39">
        <f>ABS(SUM(ThirdFloor[Area sum])/2)-SUM(Table1926[Areas to subtract])</f>
        <v>0</v>
      </c>
    </row>
    <row r="3" spans="1:3" x14ac:dyDescent="0.45">
      <c r="A3" s="40" t="s">
        <v>27</v>
      </c>
      <c r="B3" s="41">
        <f>B2-'4th Floor'!B4+SUM(Table1926[Areas to subtract])</f>
        <v>0</v>
      </c>
    </row>
    <row r="4" spans="1:3" x14ac:dyDescent="0.45">
      <c r="A4" s="40" t="s">
        <v>28</v>
      </c>
      <c r="B4" s="41">
        <f>IF(AND('3rd Floor'!B6="Yes",OR('3rd Floor'!B5="",'3rd Floor'!B5="No")),'2nd Floor'!B2,IF(AND('3rd Floor'!B5="Yes",OR('3rd Floor'!B6="",'3rd Floor'!B6="No")),B2,IF(AND(B5="Yes",B6="Yes"),"Overlap error",ABS(SUM(OverlapThirdFloor[Area sum])/2))))</f>
        <v>0</v>
      </c>
    </row>
    <row r="5" spans="1:3" x14ac:dyDescent="0.45">
      <c r="A5" s="40" t="s">
        <v>190</v>
      </c>
      <c r="B5" s="49"/>
    </row>
    <row r="6" spans="1:3" x14ac:dyDescent="0.45">
      <c r="A6" s="40" t="s">
        <v>189</v>
      </c>
      <c r="B6" s="50"/>
    </row>
    <row r="7" spans="1:3" ht="14.65" thickBot="1" x14ac:dyDescent="0.5">
      <c r="A7" s="42" t="s">
        <v>45</v>
      </c>
      <c r="B7" s="43">
        <f>B2-B4</f>
        <v>0</v>
      </c>
    </row>
    <row r="8" spans="1:3" ht="14.65" thickBot="1" x14ac:dyDescent="0.5"/>
    <row r="9" spans="1:3" x14ac:dyDescent="0.45">
      <c r="A9" s="87" t="s">
        <v>39</v>
      </c>
      <c r="B9" s="88"/>
      <c r="C9" s="89"/>
    </row>
    <row r="10" spans="1:3" x14ac:dyDescent="0.45">
      <c r="A10" s="40"/>
      <c r="B10" s="44" t="s">
        <v>200</v>
      </c>
      <c r="C10" s="41" t="s">
        <v>201</v>
      </c>
    </row>
    <row r="11" spans="1:3" x14ac:dyDescent="0.45">
      <c r="A11" s="40" t="str">
        <f>A32</f>
        <v>Third Floor</v>
      </c>
      <c r="B11" s="36"/>
      <c r="C11" s="49">
        <v>-15</v>
      </c>
    </row>
    <row r="12" spans="1:3" ht="14.65" thickBot="1" x14ac:dyDescent="0.5">
      <c r="A12" s="42" t="str">
        <f>L32</f>
        <v>Third Floor rim joist</v>
      </c>
      <c r="B12" s="51"/>
      <c r="C12" s="52">
        <v>-15</v>
      </c>
    </row>
    <row r="14" spans="1:3" x14ac:dyDescent="0.45">
      <c r="A14" s="37" t="s">
        <v>130</v>
      </c>
      <c r="B14" s="37" t="s">
        <v>155</v>
      </c>
    </row>
    <row r="15" spans="1:3" x14ac:dyDescent="0.45">
      <c r="A15" s="37" t="s">
        <v>152</v>
      </c>
      <c r="B15" s="37">
        <f>SUM(ThirdFloor[Offset Change])</f>
        <v>0</v>
      </c>
    </row>
    <row r="16" spans="1:3" x14ac:dyDescent="0.45">
      <c r="A16" s="37" t="s">
        <v>149</v>
      </c>
      <c r="B16" s="37">
        <f>SUMIF(ThirdFloor[Wall Type],A16,ThirdFloor[Offset Change])</f>
        <v>0</v>
      </c>
    </row>
    <row r="17" spans="1:20" x14ac:dyDescent="0.45">
      <c r="A17" s="37" t="s">
        <v>168</v>
      </c>
      <c r="B17" s="37">
        <f>SUMIF(ThirdFloor[Wall Type],A17,ThirdFloor[Offset Change])</f>
        <v>0</v>
      </c>
    </row>
    <row r="18" spans="1:20" x14ac:dyDescent="0.45">
      <c r="A18" s="37" t="s">
        <v>169</v>
      </c>
      <c r="B18" s="37">
        <f>SUMIF(ThirdFloor[Wall Type],A18,ThirdFloor[Offset Change])</f>
        <v>0</v>
      </c>
    </row>
    <row r="19" spans="1:20" x14ac:dyDescent="0.45">
      <c r="A19" s="37" t="s">
        <v>150</v>
      </c>
      <c r="B19" s="37">
        <f>SUMIF(ThirdFloor[Wall Type],A19,ThirdFloor[Offset Change])</f>
        <v>0</v>
      </c>
    </row>
    <row r="20" spans="1:20" x14ac:dyDescent="0.45">
      <c r="A20" s="37" t="s">
        <v>147</v>
      </c>
      <c r="B20" s="37">
        <f>SUMIF(ThirdFloor[Wall Type],A20,ThirdFloor[Offset Change])</f>
        <v>0</v>
      </c>
    </row>
    <row r="22" spans="1:20" x14ac:dyDescent="0.45">
      <c r="A22" s="37" t="s">
        <v>184</v>
      </c>
    </row>
    <row r="23" spans="1:20" x14ac:dyDescent="0.45">
      <c r="A23" s="36"/>
    </row>
    <row r="24" spans="1:20" x14ac:dyDescent="0.45">
      <c r="A24" s="36"/>
    </row>
    <row r="25" spans="1:20" x14ac:dyDescent="0.45">
      <c r="A25" s="36"/>
    </row>
    <row r="26" spans="1:20" x14ac:dyDescent="0.45">
      <c r="A26" s="57"/>
    </row>
    <row r="32" spans="1:20" ht="18" x14ac:dyDescent="0.55000000000000004">
      <c r="A32" s="90" t="s">
        <v>43</v>
      </c>
      <c r="B32" s="90"/>
      <c r="C32" s="90"/>
      <c r="D32" s="90"/>
      <c r="E32" s="90"/>
      <c r="F32" s="90"/>
      <c r="G32" s="90"/>
      <c r="H32" s="90"/>
      <c r="I32" s="90"/>
      <c r="J32" s="90"/>
      <c r="L32" s="90" t="s">
        <v>197</v>
      </c>
      <c r="M32" s="90"/>
      <c r="N32" s="90"/>
      <c r="O32" s="90"/>
      <c r="P32" s="90"/>
      <c r="Q32" s="90"/>
      <c r="R32" s="90"/>
      <c r="S32" s="90"/>
      <c r="T32" s="90"/>
    </row>
    <row r="33" spans="1:20" x14ac:dyDescent="0.45">
      <c r="A33" s="45" t="s">
        <v>12</v>
      </c>
      <c r="B33" s="53">
        <v>0</v>
      </c>
      <c r="C33" s="46"/>
      <c r="D33" s="46"/>
      <c r="E33" s="46"/>
      <c r="F33" s="46"/>
      <c r="G33" s="46"/>
      <c r="H33" s="46" t="s">
        <v>10</v>
      </c>
      <c r="I33" s="46"/>
      <c r="J33" s="47"/>
      <c r="L33" s="45" t="s">
        <v>12</v>
      </c>
      <c r="M33" s="53">
        <v>0</v>
      </c>
      <c r="N33" s="46"/>
      <c r="O33" s="46"/>
      <c r="P33" s="46"/>
      <c r="Q33" s="46"/>
      <c r="R33" s="46"/>
      <c r="S33" s="46"/>
      <c r="T33" s="46"/>
    </row>
    <row r="34" spans="1:20" x14ac:dyDescent="0.45">
      <c r="A34" s="37" t="s">
        <v>14</v>
      </c>
      <c r="B34" s="37" t="s">
        <v>11</v>
      </c>
      <c r="C34" s="37" t="s">
        <v>9</v>
      </c>
      <c r="D34" s="37" t="s">
        <v>30</v>
      </c>
      <c r="E34" s="37" t="s">
        <v>151</v>
      </c>
      <c r="F34" s="37" t="s">
        <v>16</v>
      </c>
      <c r="G34" s="37" t="s">
        <v>29</v>
      </c>
      <c r="H34" s="37" t="s">
        <v>31</v>
      </c>
      <c r="I34" s="37" t="s">
        <v>32</v>
      </c>
      <c r="J34" s="37" t="s">
        <v>37</v>
      </c>
      <c r="L34" s="37" t="s">
        <v>14</v>
      </c>
      <c r="M34" s="37" t="s">
        <v>11</v>
      </c>
      <c r="N34" s="37" t="s">
        <v>9</v>
      </c>
      <c r="O34" s="37" t="s">
        <v>30</v>
      </c>
      <c r="P34" s="37" t="s">
        <v>16</v>
      </c>
      <c r="Q34" s="37" t="s">
        <v>29</v>
      </c>
      <c r="R34" s="37" t="s">
        <v>31</v>
      </c>
      <c r="S34" s="37" t="s">
        <v>32</v>
      </c>
      <c r="T34" s="37" t="s">
        <v>37</v>
      </c>
    </row>
    <row r="35" spans="1:20" x14ac:dyDescent="0.45">
      <c r="A35" s="37">
        <v>0</v>
      </c>
      <c r="B35" s="54"/>
      <c r="C35" s="54"/>
      <c r="D35" s="54"/>
      <c r="E35" s="54"/>
      <c r="F35" s="54" t="s">
        <v>13</v>
      </c>
      <c r="G35" s="54" t="s">
        <v>13</v>
      </c>
      <c r="H35" s="48">
        <f>$B$11</f>
        <v>0</v>
      </c>
      <c r="I35" s="48">
        <f>$C$11</f>
        <v>-15</v>
      </c>
      <c r="J35" s="37">
        <v>0</v>
      </c>
      <c r="L35" s="37">
        <v>0</v>
      </c>
      <c r="M35" s="54" t="s">
        <v>13</v>
      </c>
      <c r="N35" s="54" t="s">
        <v>13</v>
      </c>
      <c r="O35" s="54"/>
      <c r="P35" s="54" t="s">
        <v>13</v>
      </c>
      <c r="Q35" s="54" t="s">
        <v>13</v>
      </c>
      <c r="R35" s="48">
        <f>B12</f>
        <v>0</v>
      </c>
      <c r="S35" s="48">
        <f>C12</f>
        <v>-15</v>
      </c>
      <c r="T35" s="37">
        <v>0</v>
      </c>
    </row>
    <row r="36" spans="1:20" x14ac:dyDescent="0.45">
      <c r="A36" s="37">
        <v>1</v>
      </c>
      <c r="B36" s="34"/>
      <c r="C36" s="35"/>
      <c r="D36" s="34"/>
      <c r="E36" s="34"/>
      <c r="F36" s="37">
        <f>ThirdFloor[[#This Row],[Unit Change]]+$B$33*2</f>
        <v>0</v>
      </c>
      <c r="G36" s="37" t="str">
        <f>_xlfn.IFNA(IF(ThirdFloor[[#This Row],[Custom Angular Direction]]="",INDEX(Direction[Degree],MATCH(ThirdFloor[[#This Row],[Direction]],Direction[Direction],0)),ThirdFloor[[#This Row],[Custom Angular Direction]]),"")</f>
        <v/>
      </c>
      <c r="H36" s="48">
        <f>IFERROR(IF(COS(RADIANS(ThirdFloor[[#This Row],[Angular Direction]]))*ThirdFloor[[#This Row],[Unit Change]]=0,H35,H35+COS(RADIANS(ThirdFloor[[#This Row],[Angular Direction]]))*ThirdFloor[[#This Row],[Unit Change]]),$H$35)</f>
        <v>0</v>
      </c>
      <c r="I36" s="48">
        <f>IFERROR(IF(SIN(RADIANS(ThirdFloor[[#This Row],[Angular Direction]]))*ThirdFloor[[#This Row],[Unit Change]]=0,I35,I35+SIN(RADIANS(ThirdFloor[[#This Row],[Angular Direction]]))*ThirdFloor[[#This Row],[Unit Change]]),$I$35)</f>
        <v>-15</v>
      </c>
      <c r="J36" s="48">
        <f>H35*ThirdFloor[[#This Row],[Y-Axis]]-I35*ThirdFloor[[#This Row],[X-Axis]]</f>
        <v>0</v>
      </c>
      <c r="L36" s="37">
        <v>1</v>
      </c>
      <c r="M36" s="34"/>
      <c r="N36" s="35"/>
      <c r="O36" s="55"/>
      <c r="P36" s="37">
        <f>OverlapThirdFloor[[#This Row],[Unit Change]]+$M$33*2</f>
        <v>0</v>
      </c>
      <c r="Q36" s="37" t="str">
        <f>_xlfn.IFNA(IF(OverlapThirdFloor[[#This Row],[Custom Angular Direction]]="",INDEX(Direction[Degree],MATCH(OverlapThirdFloor[[#This Row],[Direction]],Direction[Direction],0)),OverlapThirdFloor[[#This Row],[Custom Angular Direction]]),"")</f>
        <v/>
      </c>
      <c r="R36" s="48">
        <f>IFERROR(IF(COS(RADIANS(OverlapThirdFloor[[#This Row],[Angular Direction]]))*OverlapThirdFloor[[#This Row],[Unit Change]]=0,R35,R35+COS(RADIANS(OverlapThirdFloor[[#This Row],[Angular Direction]]))*OverlapThirdFloor[[#This Row],[Unit Change]]),$R$35)</f>
        <v>0</v>
      </c>
      <c r="S36" s="48">
        <f>IFERROR(IF(SIN(RADIANS(OverlapThirdFloor[[#This Row],[Angular Direction]]))*OverlapThirdFloor[[#This Row],[Unit Change]]=0,S35,S35+SIN(RADIANS(OverlapThirdFloor[[#This Row],[Angular Direction]]))*OverlapThirdFloor[[#This Row],[Unit Change]]),$S$35)</f>
        <v>-15</v>
      </c>
      <c r="T36" s="48">
        <f>R35*OverlapThirdFloor[[#This Row],[Y-Axis]]-S35*OverlapThirdFloor[[#This Row],[X-Axis]]</f>
        <v>0</v>
      </c>
    </row>
    <row r="37" spans="1:20" x14ac:dyDescent="0.45">
      <c r="A37" s="37">
        <v>2</v>
      </c>
      <c r="B37" s="34"/>
      <c r="C37" s="35"/>
      <c r="D37" s="34"/>
      <c r="E37" s="34"/>
      <c r="F37" s="37">
        <f>ThirdFloor[[#This Row],[Unit Change]]+$B$33*2</f>
        <v>0</v>
      </c>
      <c r="G37" s="37" t="str">
        <f>_xlfn.IFNA(IF(ThirdFloor[[#This Row],[Custom Angular Direction]]="",INDEX(Direction[Degree],MATCH(ThirdFloor[[#This Row],[Direction]],Direction[Direction],0)),ThirdFloor[[#This Row],[Custom Angular Direction]]),"")</f>
        <v/>
      </c>
      <c r="H37" s="48">
        <f>IFERROR(IF(COS(RADIANS(ThirdFloor[[#This Row],[Angular Direction]]))*ThirdFloor[[#This Row],[Unit Change]]=0,H36,H36+COS(RADIANS(ThirdFloor[[#This Row],[Angular Direction]]))*ThirdFloor[[#This Row],[Unit Change]]),$H$35)</f>
        <v>0</v>
      </c>
      <c r="I37" s="48">
        <f>IFERROR(IF(SIN(RADIANS(ThirdFloor[[#This Row],[Angular Direction]]))*ThirdFloor[[#This Row],[Unit Change]]=0,I36,I36+SIN(RADIANS(ThirdFloor[[#This Row],[Angular Direction]]))*ThirdFloor[[#This Row],[Unit Change]]),$I$35)</f>
        <v>-15</v>
      </c>
      <c r="J37" s="48">
        <f>H36*ThirdFloor[[#This Row],[Y-Axis]]-I36*ThirdFloor[[#This Row],[X-Axis]]</f>
        <v>0</v>
      </c>
      <c r="L37" s="37">
        <v>2</v>
      </c>
      <c r="M37" s="34"/>
      <c r="N37" s="35"/>
      <c r="O37" s="55"/>
      <c r="P37" s="37">
        <f>OverlapThirdFloor[[#This Row],[Unit Change]]+$B$33*2</f>
        <v>0</v>
      </c>
      <c r="Q37" s="37" t="str">
        <f>_xlfn.IFNA(IF(OverlapThirdFloor[[#This Row],[Custom Angular Direction]]="",INDEX(Direction[Degree],MATCH(OverlapThirdFloor[[#This Row],[Direction]],Direction[Direction],0)),OverlapThirdFloor[[#This Row],[Custom Angular Direction]]),"")</f>
        <v/>
      </c>
      <c r="R37" s="48">
        <f>IFERROR(IF(COS(RADIANS(OverlapThirdFloor[[#This Row],[Angular Direction]]))*OverlapThirdFloor[[#This Row],[Unit Change]]=0,R36,R36+COS(RADIANS(OverlapThirdFloor[[#This Row],[Angular Direction]]))*OverlapThirdFloor[[#This Row],[Unit Change]]),$R$35)</f>
        <v>0</v>
      </c>
      <c r="S37" s="48">
        <f>IFERROR(IF(SIN(RADIANS(OverlapThirdFloor[[#This Row],[Angular Direction]]))*OverlapThirdFloor[[#This Row],[Unit Change]]=0,S36,S36+SIN(RADIANS(OverlapThirdFloor[[#This Row],[Angular Direction]]))*OverlapThirdFloor[[#This Row],[Unit Change]]),$S$35)</f>
        <v>-15</v>
      </c>
      <c r="T37" s="48">
        <f>R36*OverlapThirdFloor[[#This Row],[Y-Axis]]-S36*OverlapThirdFloor[[#This Row],[X-Axis]]</f>
        <v>0</v>
      </c>
    </row>
    <row r="38" spans="1:20" x14ac:dyDescent="0.45">
      <c r="A38" s="37">
        <v>3</v>
      </c>
      <c r="B38" s="34"/>
      <c r="C38" s="35"/>
      <c r="D38" s="34"/>
      <c r="E38" s="34"/>
      <c r="F38" s="37">
        <f>ThirdFloor[[#This Row],[Unit Change]]+$B$33*2</f>
        <v>0</v>
      </c>
      <c r="G38" s="37" t="str">
        <f>_xlfn.IFNA(IF(ThirdFloor[[#This Row],[Custom Angular Direction]]="",INDEX(Direction[Degree],MATCH(ThirdFloor[[#This Row],[Direction]],Direction[Direction],0)),ThirdFloor[[#This Row],[Custom Angular Direction]]),"")</f>
        <v/>
      </c>
      <c r="H38" s="48">
        <f>IFERROR(IF(COS(RADIANS(ThirdFloor[[#This Row],[Angular Direction]]))*ThirdFloor[[#This Row],[Unit Change]]=0,H37,H37+COS(RADIANS(ThirdFloor[[#This Row],[Angular Direction]]))*ThirdFloor[[#This Row],[Unit Change]]),$H$35)</f>
        <v>0</v>
      </c>
      <c r="I38" s="48">
        <f>IFERROR(IF(SIN(RADIANS(ThirdFloor[[#This Row],[Angular Direction]]))*ThirdFloor[[#This Row],[Unit Change]]=0,I37,I37+SIN(RADIANS(ThirdFloor[[#This Row],[Angular Direction]]))*ThirdFloor[[#This Row],[Unit Change]]),$I$35)</f>
        <v>-15</v>
      </c>
      <c r="J38" s="48">
        <f>H37*ThirdFloor[[#This Row],[Y-Axis]]-I37*ThirdFloor[[#This Row],[X-Axis]]</f>
        <v>0</v>
      </c>
      <c r="L38" s="37">
        <v>3</v>
      </c>
      <c r="M38" s="34"/>
      <c r="N38" s="35"/>
      <c r="O38" s="55"/>
      <c r="P38" s="37">
        <f>OverlapThirdFloor[[#This Row],[Unit Change]]+$B$33*2</f>
        <v>0</v>
      </c>
      <c r="Q38" s="37" t="str">
        <f>_xlfn.IFNA(IF(OverlapThirdFloor[[#This Row],[Custom Angular Direction]]="",INDEX(Direction[Degree],MATCH(OverlapThirdFloor[[#This Row],[Direction]],Direction[Direction],0)),OverlapThirdFloor[[#This Row],[Custom Angular Direction]]),"")</f>
        <v/>
      </c>
      <c r="R38" s="48">
        <f>IFERROR(IF(COS(RADIANS(OverlapThirdFloor[[#This Row],[Angular Direction]]))*OverlapThirdFloor[[#This Row],[Unit Change]]=0,R37,R37+COS(RADIANS(OverlapThirdFloor[[#This Row],[Angular Direction]]))*OverlapThirdFloor[[#This Row],[Unit Change]]),$R$35)</f>
        <v>0</v>
      </c>
      <c r="S38" s="48">
        <f>IFERROR(IF(SIN(RADIANS(OverlapThirdFloor[[#This Row],[Angular Direction]]))*OverlapThirdFloor[[#This Row],[Unit Change]]=0,S37,S37+SIN(RADIANS(OverlapThirdFloor[[#This Row],[Angular Direction]]))*OverlapThirdFloor[[#This Row],[Unit Change]]),$S$35)</f>
        <v>-15</v>
      </c>
      <c r="T38" s="48">
        <f>R37*OverlapThirdFloor[[#This Row],[Y-Axis]]-S37*OverlapThirdFloor[[#This Row],[X-Axis]]</f>
        <v>0</v>
      </c>
    </row>
    <row r="39" spans="1:20" x14ac:dyDescent="0.45">
      <c r="A39" s="37">
        <v>4</v>
      </c>
      <c r="B39" s="34"/>
      <c r="C39" s="35"/>
      <c r="D39" s="34"/>
      <c r="E39" s="34"/>
      <c r="F39" s="37">
        <f>ThirdFloor[[#This Row],[Unit Change]]+$B$33*2</f>
        <v>0</v>
      </c>
      <c r="G39" s="37" t="str">
        <f>_xlfn.IFNA(IF(ThirdFloor[[#This Row],[Custom Angular Direction]]="",INDEX(Direction[Degree],MATCH(ThirdFloor[[#This Row],[Direction]],Direction[Direction],0)),ThirdFloor[[#This Row],[Custom Angular Direction]]),"")</f>
        <v/>
      </c>
      <c r="H39" s="48">
        <f>IFERROR(IF(COS(RADIANS(ThirdFloor[[#This Row],[Angular Direction]]))*ThirdFloor[[#This Row],[Unit Change]]=0,H38,H38+COS(RADIANS(ThirdFloor[[#This Row],[Angular Direction]]))*ThirdFloor[[#This Row],[Unit Change]]),$H$35)</f>
        <v>0</v>
      </c>
      <c r="I39" s="48">
        <f>IFERROR(IF(SIN(RADIANS(ThirdFloor[[#This Row],[Angular Direction]]))*ThirdFloor[[#This Row],[Unit Change]]=0,I38,I38+SIN(RADIANS(ThirdFloor[[#This Row],[Angular Direction]]))*ThirdFloor[[#This Row],[Unit Change]]),$I$35)</f>
        <v>-15</v>
      </c>
      <c r="J39" s="48">
        <f>H38*ThirdFloor[[#This Row],[Y-Axis]]-I38*ThirdFloor[[#This Row],[X-Axis]]</f>
        <v>0</v>
      </c>
      <c r="L39" s="37">
        <v>4</v>
      </c>
      <c r="M39" s="34"/>
      <c r="N39" s="35"/>
      <c r="O39" s="55"/>
      <c r="P39" s="37">
        <f>OverlapThirdFloor[[#This Row],[Unit Change]]+$B$33*2</f>
        <v>0</v>
      </c>
      <c r="Q39" s="37" t="str">
        <f>_xlfn.IFNA(IF(OverlapThirdFloor[[#This Row],[Custom Angular Direction]]="",INDEX(Direction[Degree],MATCH(OverlapThirdFloor[[#This Row],[Direction]],Direction[Direction],0)),OverlapThirdFloor[[#This Row],[Custom Angular Direction]]),"")</f>
        <v/>
      </c>
      <c r="R39" s="48">
        <f>IFERROR(IF(COS(RADIANS(OverlapThirdFloor[[#This Row],[Angular Direction]]))*OverlapThirdFloor[[#This Row],[Unit Change]]=0,R38,R38+COS(RADIANS(OverlapThirdFloor[[#This Row],[Angular Direction]]))*OverlapThirdFloor[[#This Row],[Unit Change]]),$R$35)</f>
        <v>0</v>
      </c>
      <c r="S39" s="48">
        <f>IFERROR(IF(SIN(RADIANS(OverlapThirdFloor[[#This Row],[Angular Direction]]))*OverlapThirdFloor[[#This Row],[Unit Change]]=0,S38,S38+SIN(RADIANS(OverlapThirdFloor[[#This Row],[Angular Direction]]))*OverlapThirdFloor[[#This Row],[Unit Change]]),$S$35)</f>
        <v>-15</v>
      </c>
      <c r="T39" s="48">
        <f>R38*OverlapThirdFloor[[#This Row],[Y-Axis]]-S38*OverlapThirdFloor[[#This Row],[X-Axis]]</f>
        <v>0</v>
      </c>
    </row>
    <row r="40" spans="1:20" x14ac:dyDescent="0.45">
      <c r="A40" s="37">
        <v>5</v>
      </c>
      <c r="B40" s="34"/>
      <c r="C40" s="35"/>
      <c r="D40" s="34"/>
      <c r="E40" s="34"/>
      <c r="F40" s="37">
        <f>ThirdFloor[[#This Row],[Unit Change]]+$B$33*2</f>
        <v>0</v>
      </c>
      <c r="G40" s="37" t="str">
        <f>_xlfn.IFNA(IF(ThirdFloor[[#This Row],[Custom Angular Direction]]="",INDEX(Direction[Degree],MATCH(ThirdFloor[[#This Row],[Direction]],Direction[Direction],0)),ThirdFloor[[#This Row],[Custom Angular Direction]]),"")</f>
        <v/>
      </c>
      <c r="H40" s="48">
        <f>IFERROR(IF(COS(RADIANS(ThirdFloor[[#This Row],[Angular Direction]]))*ThirdFloor[[#This Row],[Unit Change]]=0,H39,H39+COS(RADIANS(ThirdFloor[[#This Row],[Angular Direction]]))*ThirdFloor[[#This Row],[Unit Change]]),$H$35)</f>
        <v>0</v>
      </c>
      <c r="I40" s="48">
        <f>IFERROR(IF(SIN(RADIANS(ThirdFloor[[#This Row],[Angular Direction]]))*ThirdFloor[[#This Row],[Unit Change]]=0,I39,I39+SIN(RADIANS(ThirdFloor[[#This Row],[Angular Direction]]))*ThirdFloor[[#This Row],[Unit Change]]),$I$35)</f>
        <v>-15</v>
      </c>
      <c r="J40" s="48">
        <f>H39*ThirdFloor[[#This Row],[Y-Axis]]-I39*ThirdFloor[[#This Row],[X-Axis]]</f>
        <v>0</v>
      </c>
      <c r="L40" s="37">
        <v>5</v>
      </c>
      <c r="M40" s="34"/>
      <c r="N40" s="35"/>
      <c r="O40" s="55"/>
      <c r="P40" s="37">
        <f>OverlapThirdFloor[[#This Row],[Unit Change]]+$B$33*2</f>
        <v>0</v>
      </c>
      <c r="Q40" s="37" t="str">
        <f>_xlfn.IFNA(IF(OverlapThirdFloor[[#This Row],[Custom Angular Direction]]="",INDEX(Direction[Degree],MATCH(OverlapThirdFloor[[#This Row],[Direction]],Direction[Direction],0)),OverlapThirdFloor[[#This Row],[Custom Angular Direction]]),"")</f>
        <v/>
      </c>
      <c r="R40" s="48">
        <f>IFERROR(IF(COS(RADIANS(OverlapThirdFloor[[#This Row],[Angular Direction]]))*OverlapThirdFloor[[#This Row],[Unit Change]]=0,R39,R39+COS(RADIANS(OverlapThirdFloor[[#This Row],[Angular Direction]]))*OverlapThirdFloor[[#This Row],[Unit Change]]),$R$35)</f>
        <v>0</v>
      </c>
      <c r="S40" s="48">
        <f>IFERROR(IF(SIN(RADIANS(OverlapThirdFloor[[#This Row],[Angular Direction]]))*OverlapThirdFloor[[#This Row],[Unit Change]]=0,S39,S39+SIN(RADIANS(OverlapThirdFloor[[#This Row],[Angular Direction]]))*OverlapThirdFloor[[#This Row],[Unit Change]]),$S$35)</f>
        <v>-15</v>
      </c>
      <c r="T40" s="48">
        <f>R39*OverlapThirdFloor[[#This Row],[Y-Axis]]-S39*OverlapThirdFloor[[#This Row],[X-Axis]]</f>
        <v>0</v>
      </c>
    </row>
    <row r="41" spans="1:20" x14ac:dyDescent="0.45">
      <c r="A41" s="37">
        <v>6</v>
      </c>
      <c r="B41" s="34"/>
      <c r="C41" s="35"/>
      <c r="D41" s="34"/>
      <c r="E41" s="34"/>
      <c r="F41" s="37">
        <f>ThirdFloor[[#This Row],[Unit Change]]+$B$33*2</f>
        <v>0</v>
      </c>
      <c r="G41" s="37" t="str">
        <f>_xlfn.IFNA(IF(ThirdFloor[[#This Row],[Custom Angular Direction]]="",INDEX(Direction[Degree],MATCH(ThirdFloor[[#This Row],[Direction]],Direction[Direction],0)),ThirdFloor[[#This Row],[Custom Angular Direction]]),"")</f>
        <v/>
      </c>
      <c r="H41" s="48">
        <f>IFERROR(IF(COS(RADIANS(ThirdFloor[[#This Row],[Angular Direction]]))*ThirdFloor[[#This Row],[Unit Change]]=0,H40,H40+COS(RADIANS(ThirdFloor[[#This Row],[Angular Direction]]))*ThirdFloor[[#This Row],[Unit Change]]),$H$35)</f>
        <v>0</v>
      </c>
      <c r="I41" s="48">
        <f>IFERROR(IF(SIN(RADIANS(ThirdFloor[[#This Row],[Angular Direction]]))*ThirdFloor[[#This Row],[Unit Change]]=0,I40,I40+SIN(RADIANS(ThirdFloor[[#This Row],[Angular Direction]]))*ThirdFloor[[#This Row],[Unit Change]]),$I$35)</f>
        <v>-15</v>
      </c>
      <c r="J41" s="48">
        <f>H40*ThirdFloor[[#This Row],[Y-Axis]]-I40*ThirdFloor[[#This Row],[X-Axis]]</f>
        <v>0</v>
      </c>
      <c r="L41" s="37">
        <v>6</v>
      </c>
      <c r="M41" s="34"/>
      <c r="N41" s="35"/>
      <c r="O41" s="55"/>
      <c r="P41" s="37">
        <f>OverlapThirdFloor[[#This Row],[Unit Change]]+$B$33*2</f>
        <v>0</v>
      </c>
      <c r="Q41" s="37" t="str">
        <f>_xlfn.IFNA(IF(OverlapThirdFloor[[#This Row],[Custom Angular Direction]]="",INDEX(Direction[Degree],MATCH(OverlapThirdFloor[[#This Row],[Direction]],Direction[Direction],0)),OverlapThirdFloor[[#This Row],[Custom Angular Direction]]),"")</f>
        <v/>
      </c>
      <c r="R41" s="48">
        <f>IFERROR(IF(COS(RADIANS(OverlapThirdFloor[[#This Row],[Angular Direction]]))*OverlapThirdFloor[[#This Row],[Unit Change]]=0,R40,R40+COS(RADIANS(OverlapThirdFloor[[#This Row],[Angular Direction]]))*OverlapThirdFloor[[#This Row],[Unit Change]]),$R$35)</f>
        <v>0</v>
      </c>
      <c r="S41" s="48">
        <f>IFERROR(IF(SIN(RADIANS(OverlapThirdFloor[[#This Row],[Angular Direction]]))*OverlapThirdFloor[[#This Row],[Unit Change]]=0,S40,S40+SIN(RADIANS(OverlapThirdFloor[[#This Row],[Angular Direction]]))*OverlapThirdFloor[[#This Row],[Unit Change]]),$S$35)</f>
        <v>-15</v>
      </c>
      <c r="T41" s="48">
        <f>R40*OverlapThirdFloor[[#This Row],[Y-Axis]]-S40*OverlapThirdFloor[[#This Row],[X-Axis]]</f>
        <v>0</v>
      </c>
    </row>
    <row r="42" spans="1:20" x14ac:dyDescent="0.45">
      <c r="A42" s="37">
        <v>7</v>
      </c>
      <c r="B42" s="34"/>
      <c r="C42" s="35"/>
      <c r="D42" s="34"/>
      <c r="E42" s="34"/>
      <c r="F42" s="37">
        <f>ThirdFloor[[#This Row],[Unit Change]]+$B$33*2</f>
        <v>0</v>
      </c>
      <c r="G42" s="37" t="str">
        <f>_xlfn.IFNA(IF(ThirdFloor[[#This Row],[Custom Angular Direction]]="",INDEX(Direction[Degree],MATCH(ThirdFloor[[#This Row],[Direction]],Direction[Direction],0)),ThirdFloor[[#This Row],[Custom Angular Direction]]),"")</f>
        <v/>
      </c>
      <c r="H42" s="48">
        <f>IFERROR(IF(COS(RADIANS(ThirdFloor[[#This Row],[Angular Direction]]))*ThirdFloor[[#This Row],[Unit Change]]=0,H41,H41+COS(RADIANS(ThirdFloor[[#This Row],[Angular Direction]]))*ThirdFloor[[#This Row],[Unit Change]]),$H$35)</f>
        <v>0</v>
      </c>
      <c r="I42" s="48">
        <f>IFERROR(IF(SIN(RADIANS(ThirdFloor[[#This Row],[Angular Direction]]))*ThirdFloor[[#This Row],[Unit Change]]=0,I41,I41+SIN(RADIANS(ThirdFloor[[#This Row],[Angular Direction]]))*ThirdFloor[[#This Row],[Unit Change]]),$I$35)</f>
        <v>-15</v>
      </c>
      <c r="J42" s="48">
        <f>H41*ThirdFloor[[#This Row],[Y-Axis]]-I41*ThirdFloor[[#This Row],[X-Axis]]</f>
        <v>0</v>
      </c>
      <c r="L42" s="37">
        <v>7</v>
      </c>
      <c r="M42" s="34"/>
      <c r="N42" s="35"/>
      <c r="O42" s="55"/>
      <c r="P42" s="37">
        <f>OverlapThirdFloor[[#This Row],[Unit Change]]+$B$33*2</f>
        <v>0</v>
      </c>
      <c r="Q42" s="37" t="str">
        <f>_xlfn.IFNA(IF(OverlapThirdFloor[[#This Row],[Custom Angular Direction]]="",INDEX(Direction[Degree],MATCH(OverlapThirdFloor[[#This Row],[Direction]],Direction[Direction],0)),OverlapThirdFloor[[#This Row],[Custom Angular Direction]]),"")</f>
        <v/>
      </c>
      <c r="R42" s="48">
        <f>IFERROR(IF(COS(RADIANS(OverlapThirdFloor[[#This Row],[Angular Direction]]))*OverlapThirdFloor[[#This Row],[Unit Change]]=0,R41,R41+COS(RADIANS(OverlapThirdFloor[[#This Row],[Angular Direction]]))*OverlapThirdFloor[[#This Row],[Unit Change]]),$R$35)</f>
        <v>0</v>
      </c>
      <c r="S42" s="48">
        <f>IFERROR(IF(SIN(RADIANS(OverlapThirdFloor[[#This Row],[Angular Direction]]))*OverlapThirdFloor[[#This Row],[Unit Change]]=0,S41,S41+SIN(RADIANS(OverlapThirdFloor[[#This Row],[Angular Direction]]))*OverlapThirdFloor[[#This Row],[Unit Change]]),$S$35)</f>
        <v>-15</v>
      </c>
      <c r="T42" s="48">
        <f>R41*OverlapThirdFloor[[#This Row],[Y-Axis]]-S41*OverlapThirdFloor[[#This Row],[X-Axis]]</f>
        <v>0</v>
      </c>
    </row>
    <row r="43" spans="1:20" x14ac:dyDescent="0.45">
      <c r="A43" s="37">
        <v>8</v>
      </c>
      <c r="B43" s="34"/>
      <c r="C43" s="35"/>
      <c r="D43" s="34"/>
      <c r="E43" s="34"/>
      <c r="F43" s="37">
        <f>ThirdFloor[[#This Row],[Unit Change]]+$B$33*2</f>
        <v>0</v>
      </c>
      <c r="G43" s="37" t="str">
        <f>_xlfn.IFNA(IF(ThirdFloor[[#This Row],[Custom Angular Direction]]="",INDEX(Direction[Degree],MATCH(ThirdFloor[[#This Row],[Direction]],Direction[Direction],0)),ThirdFloor[[#This Row],[Custom Angular Direction]]),"")</f>
        <v/>
      </c>
      <c r="H43" s="48">
        <f>IFERROR(IF(COS(RADIANS(ThirdFloor[[#This Row],[Angular Direction]]))*ThirdFloor[[#This Row],[Unit Change]]=0,H42,H42+COS(RADIANS(ThirdFloor[[#This Row],[Angular Direction]]))*ThirdFloor[[#This Row],[Unit Change]]),$H$35)</f>
        <v>0</v>
      </c>
      <c r="I43" s="48">
        <f>IFERROR(IF(SIN(RADIANS(ThirdFloor[[#This Row],[Angular Direction]]))*ThirdFloor[[#This Row],[Unit Change]]=0,I42,I42+SIN(RADIANS(ThirdFloor[[#This Row],[Angular Direction]]))*ThirdFloor[[#This Row],[Unit Change]]),$I$35)</f>
        <v>-15</v>
      </c>
      <c r="J43" s="48">
        <f>H42*ThirdFloor[[#This Row],[Y-Axis]]-I42*ThirdFloor[[#This Row],[X-Axis]]</f>
        <v>0</v>
      </c>
      <c r="L43" s="37">
        <v>8</v>
      </c>
      <c r="M43" s="34"/>
      <c r="N43" s="35"/>
      <c r="O43" s="55"/>
      <c r="P43" s="37">
        <f>OverlapThirdFloor[[#This Row],[Unit Change]]+$B$33*2</f>
        <v>0</v>
      </c>
      <c r="Q43" s="37" t="str">
        <f>_xlfn.IFNA(IF(OverlapThirdFloor[[#This Row],[Custom Angular Direction]]="",INDEX(Direction[Degree],MATCH(OverlapThirdFloor[[#This Row],[Direction]],Direction[Direction],0)),OverlapThirdFloor[[#This Row],[Custom Angular Direction]]),"")</f>
        <v/>
      </c>
      <c r="R43" s="48">
        <f>IFERROR(IF(COS(RADIANS(OverlapThirdFloor[[#This Row],[Angular Direction]]))*OverlapThirdFloor[[#This Row],[Unit Change]]=0,R42,R42+COS(RADIANS(OverlapThirdFloor[[#This Row],[Angular Direction]]))*OverlapThirdFloor[[#This Row],[Unit Change]]),$R$35)</f>
        <v>0</v>
      </c>
      <c r="S43" s="48">
        <f>IFERROR(IF(SIN(RADIANS(OverlapThirdFloor[[#This Row],[Angular Direction]]))*OverlapThirdFloor[[#This Row],[Unit Change]]=0,S42,S42+SIN(RADIANS(OverlapThirdFloor[[#This Row],[Angular Direction]]))*OverlapThirdFloor[[#This Row],[Unit Change]]),$S$35)</f>
        <v>-15</v>
      </c>
      <c r="T43" s="48">
        <f>R42*OverlapThirdFloor[[#This Row],[Y-Axis]]-S42*OverlapThirdFloor[[#This Row],[X-Axis]]</f>
        <v>0</v>
      </c>
    </row>
    <row r="44" spans="1:20" x14ac:dyDescent="0.45">
      <c r="A44" s="37">
        <v>9</v>
      </c>
      <c r="B44" s="34"/>
      <c r="C44" s="35"/>
      <c r="D44" s="34"/>
      <c r="E44" s="34"/>
      <c r="F44" s="37">
        <f>ThirdFloor[[#This Row],[Unit Change]]+$B$33*2</f>
        <v>0</v>
      </c>
      <c r="G44" s="37" t="str">
        <f>_xlfn.IFNA(IF(ThirdFloor[[#This Row],[Custom Angular Direction]]="",INDEX(Direction[Degree],MATCH(ThirdFloor[[#This Row],[Direction]],Direction[Direction],0)),ThirdFloor[[#This Row],[Custom Angular Direction]]),"")</f>
        <v/>
      </c>
      <c r="H44" s="48">
        <f>IFERROR(IF(COS(RADIANS(ThirdFloor[[#This Row],[Angular Direction]]))*ThirdFloor[[#This Row],[Unit Change]]=0,H43,H43+COS(RADIANS(ThirdFloor[[#This Row],[Angular Direction]]))*ThirdFloor[[#This Row],[Unit Change]]),$H$35)</f>
        <v>0</v>
      </c>
      <c r="I44" s="48">
        <f>IFERROR(IF(SIN(RADIANS(ThirdFloor[[#This Row],[Angular Direction]]))*ThirdFloor[[#This Row],[Unit Change]]=0,I43,I43+SIN(RADIANS(ThirdFloor[[#This Row],[Angular Direction]]))*ThirdFloor[[#This Row],[Unit Change]]),$I$35)</f>
        <v>-15</v>
      </c>
      <c r="J44" s="48">
        <f>H43*ThirdFloor[[#This Row],[Y-Axis]]-I43*ThirdFloor[[#This Row],[X-Axis]]</f>
        <v>0</v>
      </c>
      <c r="L44" s="37">
        <v>9</v>
      </c>
      <c r="M44" s="34"/>
      <c r="N44" s="35"/>
      <c r="O44" s="55"/>
      <c r="P44" s="37">
        <f>OverlapThirdFloor[[#This Row],[Unit Change]]+$B$33*2</f>
        <v>0</v>
      </c>
      <c r="Q44" s="37" t="str">
        <f>_xlfn.IFNA(IF(OverlapThirdFloor[[#This Row],[Custom Angular Direction]]="",INDEX(Direction[Degree],MATCH(OverlapThirdFloor[[#This Row],[Direction]],Direction[Direction],0)),OverlapThirdFloor[[#This Row],[Custom Angular Direction]]),"")</f>
        <v/>
      </c>
      <c r="R44" s="48">
        <f>IFERROR(IF(COS(RADIANS(OverlapThirdFloor[[#This Row],[Angular Direction]]))*OverlapThirdFloor[[#This Row],[Unit Change]]=0,R43,R43+COS(RADIANS(OverlapThirdFloor[[#This Row],[Angular Direction]]))*OverlapThirdFloor[[#This Row],[Unit Change]]),$R$35)</f>
        <v>0</v>
      </c>
      <c r="S44" s="48">
        <f>IFERROR(IF(SIN(RADIANS(OverlapThirdFloor[[#This Row],[Angular Direction]]))*OverlapThirdFloor[[#This Row],[Unit Change]]=0,S43,S43+SIN(RADIANS(OverlapThirdFloor[[#This Row],[Angular Direction]]))*OverlapThirdFloor[[#This Row],[Unit Change]]),$S$35)</f>
        <v>-15</v>
      </c>
      <c r="T44" s="48">
        <f>R43*OverlapThirdFloor[[#This Row],[Y-Axis]]-S43*OverlapThirdFloor[[#This Row],[X-Axis]]</f>
        <v>0</v>
      </c>
    </row>
    <row r="45" spans="1:20" x14ac:dyDescent="0.45">
      <c r="A45" s="37">
        <v>10</v>
      </c>
      <c r="B45" s="34"/>
      <c r="C45" s="35"/>
      <c r="D45" s="34"/>
      <c r="E45" s="34"/>
      <c r="F45" s="37">
        <f>ThirdFloor[[#This Row],[Unit Change]]+$B$33*2</f>
        <v>0</v>
      </c>
      <c r="G45" s="37" t="str">
        <f>_xlfn.IFNA(IF(ThirdFloor[[#This Row],[Custom Angular Direction]]="",INDEX(Direction[Degree],MATCH(ThirdFloor[[#This Row],[Direction]],Direction[Direction],0)),ThirdFloor[[#This Row],[Custom Angular Direction]]),"")</f>
        <v/>
      </c>
      <c r="H45" s="48">
        <f>IFERROR(IF(COS(RADIANS(ThirdFloor[[#This Row],[Angular Direction]]))*ThirdFloor[[#This Row],[Unit Change]]=0,H44,H44+COS(RADIANS(ThirdFloor[[#This Row],[Angular Direction]]))*ThirdFloor[[#This Row],[Unit Change]]),$H$35)</f>
        <v>0</v>
      </c>
      <c r="I45" s="48">
        <f>IFERROR(IF(SIN(RADIANS(ThirdFloor[[#This Row],[Angular Direction]]))*ThirdFloor[[#This Row],[Unit Change]]=0,I44,I44+SIN(RADIANS(ThirdFloor[[#This Row],[Angular Direction]]))*ThirdFloor[[#This Row],[Unit Change]]),$I$35)</f>
        <v>-15</v>
      </c>
      <c r="J45" s="48">
        <f>H44*ThirdFloor[[#This Row],[Y-Axis]]-I44*ThirdFloor[[#This Row],[X-Axis]]</f>
        <v>0</v>
      </c>
      <c r="L45" s="37">
        <v>10</v>
      </c>
      <c r="M45" s="34"/>
      <c r="N45" s="35"/>
      <c r="O45" s="55"/>
      <c r="P45" s="37">
        <f>OverlapThirdFloor[[#This Row],[Unit Change]]+$B$33*2</f>
        <v>0</v>
      </c>
      <c r="Q45" s="37" t="str">
        <f>_xlfn.IFNA(IF(OverlapThirdFloor[[#This Row],[Custom Angular Direction]]="",INDEX(Direction[Degree],MATCH(OverlapThirdFloor[[#This Row],[Direction]],Direction[Direction],0)),OverlapThirdFloor[[#This Row],[Custom Angular Direction]]),"")</f>
        <v/>
      </c>
      <c r="R45" s="48">
        <f>IFERROR(IF(COS(RADIANS(OverlapThirdFloor[[#This Row],[Angular Direction]]))*OverlapThirdFloor[[#This Row],[Unit Change]]=0,R44,R44+COS(RADIANS(OverlapThirdFloor[[#This Row],[Angular Direction]]))*OverlapThirdFloor[[#This Row],[Unit Change]]),$R$35)</f>
        <v>0</v>
      </c>
      <c r="S45" s="48">
        <f>IFERROR(IF(SIN(RADIANS(OverlapThirdFloor[[#This Row],[Angular Direction]]))*OverlapThirdFloor[[#This Row],[Unit Change]]=0,S44,S44+SIN(RADIANS(OverlapThirdFloor[[#This Row],[Angular Direction]]))*OverlapThirdFloor[[#This Row],[Unit Change]]),$S$35)</f>
        <v>-15</v>
      </c>
      <c r="T45" s="48">
        <f>R44*OverlapThirdFloor[[#This Row],[Y-Axis]]-S44*OverlapThirdFloor[[#This Row],[X-Axis]]</f>
        <v>0</v>
      </c>
    </row>
    <row r="46" spans="1:20" x14ac:dyDescent="0.45">
      <c r="A46" s="37">
        <v>11</v>
      </c>
      <c r="B46" s="34"/>
      <c r="C46" s="35"/>
      <c r="D46" s="34"/>
      <c r="E46" s="34"/>
      <c r="F46" s="37">
        <f>ThirdFloor[[#This Row],[Unit Change]]+$B$33*2</f>
        <v>0</v>
      </c>
      <c r="G46" s="37" t="str">
        <f>_xlfn.IFNA(IF(ThirdFloor[[#This Row],[Custom Angular Direction]]="",INDEX(Direction[Degree],MATCH(ThirdFloor[[#This Row],[Direction]],Direction[Direction],0)),ThirdFloor[[#This Row],[Custom Angular Direction]]),"")</f>
        <v/>
      </c>
      <c r="H46" s="48">
        <f>IFERROR(IF(COS(RADIANS(ThirdFloor[[#This Row],[Angular Direction]]))*ThirdFloor[[#This Row],[Unit Change]]=0,H45,H45+COS(RADIANS(ThirdFloor[[#This Row],[Angular Direction]]))*ThirdFloor[[#This Row],[Unit Change]]),$H$35)</f>
        <v>0</v>
      </c>
      <c r="I46" s="48">
        <f>IFERROR(IF(SIN(RADIANS(ThirdFloor[[#This Row],[Angular Direction]]))*ThirdFloor[[#This Row],[Unit Change]]=0,I45,I45+SIN(RADIANS(ThirdFloor[[#This Row],[Angular Direction]]))*ThirdFloor[[#This Row],[Unit Change]]),$I$35)</f>
        <v>-15</v>
      </c>
      <c r="J46" s="48">
        <f>H45*ThirdFloor[[#This Row],[Y-Axis]]-I45*ThirdFloor[[#This Row],[X-Axis]]</f>
        <v>0</v>
      </c>
      <c r="L46" s="37">
        <v>11</v>
      </c>
      <c r="M46" s="34"/>
      <c r="N46" s="35"/>
      <c r="O46" s="55"/>
      <c r="P46" s="37">
        <f>OverlapThirdFloor[[#This Row],[Unit Change]]+$B$33*2</f>
        <v>0</v>
      </c>
      <c r="Q46" s="37" t="str">
        <f>_xlfn.IFNA(IF(OverlapThirdFloor[[#This Row],[Custom Angular Direction]]="",INDEX(Direction[Degree],MATCH(OverlapThirdFloor[[#This Row],[Direction]],Direction[Direction],0)),OverlapThirdFloor[[#This Row],[Custom Angular Direction]]),"")</f>
        <v/>
      </c>
      <c r="R46" s="48">
        <f>IFERROR(IF(COS(RADIANS(OverlapThirdFloor[[#This Row],[Angular Direction]]))*OverlapThirdFloor[[#This Row],[Unit Change]]=0,R45,R45+COS(RADIANS(OverlapThirdFloor[[#This Row],[Angular Direction]]))*OverlapThirdFloor[[#This Row],[Unit Change]]),$R$35)</f>
        <v>0</v>
      </c>
      <c r="S46" s="48">
        <f>IFERROR(IF(SIN(RADIANS(OverlapThirdFloor[[#This Row],[Angular Direction]]))*OverlapThirdFloor[[#This Row],[Unit Change]]=0,S45,S45+SIN(RADIANS(OverlapThirdFloor[[#This Row],[Angular Direction]]))*OverlapThirdFloor[[#This Row],[Unit Change]]),$S$35)</f>
        <v>-15</v>
      </c>
      <c r="T46" s="48">
        <f>R45*OverlapThirdFloor[[#This Row],[Y-Axis]]-S45*OverlapThirdFloor[[#This Row],[X-Axis]]</f>
        <v>0</v>
      </c>
    </row>
    <row r="47" spans="1:20" x14ac:dyDescent="0.45">
      <c r="A47" s="37">
        <v>12</v>
      </c>
      <c r="B47" s="34"/>
      <c r="C47" s="35"/>
      <c r="D47" s="34"/>
      <c r="E47" s="34"/>
      <c r="F47" s="37">
        <f>ThirdFloor[[#This Row],[Unit Change]]+$B$33*2</f>
        <v>0</v>
      </c>
      <c r="G47" s="37" t="str">
        <f>_xlfn.IFNA(IF(ThirdFloor[[#This Row],[Custom Angular Direction]]="",INDEX(Direction[Degree],MATCH(ThirdFloor[[#This Row],[Direction]],Direction[Direction],0)),ThirdFloor[[#This Row],[Custom Angular Direction]]),"")</f>
        <v/>
      </c>
      <c r="H47" s="48">
        <f>IFERROR(IF(COS(RADIANS(ThirdFloor[[#This Row],[Angular Direction]]))*ThirdFloor[[#This Row],[Unit Change]]=0,H46,H46+COS(RADIANS(ThirdFloor[[#This Row],[Angular Direction]]))*ThirdFloor[[#This Row],[Unit Change]]),$H$35)</f>
        <v>0</v>
      </c>
      <c r="I47" s="48">
        <f>IFERROR(IF(SIN(RADIANS(ThirdFloor[[#This Row],[Angular Direction]]))*ThirdFloor[[#This Row],[Unit Change]]=0,I46,I46+SIN(RADIANS(ThirdFloor[[#This Row],[Angular Direction]]))*ThirdFloor[[#This Row],[Unit Change]]),$I$35)</f>
        <v>-15</v>
      </c>
      <c r="J47" s="48">
        <f>H46*ThirdFloor[[#This Row],[Y-Axis]]-I46*ThirdFloor[[#This Row],[X-Axis]]</f>
        <v>0</v>
      </c>
      <c r="L47" s="37">
        <v>12</v>
      </c>
      <c r="M47" s="34"/>
      <c r="N47" s="35"/>
      <c r="O47" s="55"/>
      <c r="P47" s="37">
        <f>OverlapThirdFloor[[#This Row],[Unit Change]]+$B$33*2</f>
        <v>0</v>
      </c>
      <c r="Q47" s="37" t="str">
        <f>_xlfn.IFNA(IF(OverlapThirdFloor[[#This Row],[Custom Angular Direction]]="",INDEX(Direction[Degree],MATCH(OverlapThirdFloor[[#This Row],[Direction]],Direction[Direction],0)),OverlapThirdFloor[[#This Row],[Custom Angular Direction]]),"")</f>
        <v/>
      </c>
      <c r="R47" s="48">
        <f>IFERROR(IF(COS(RADIANS(OverlapThirdFloor[[#This Row],[Angular Direction]]))*OverlapThirdFloor[[#This Row],[Unit Change]]=0,R46,R46+COS(RADIANS(OverlapThirdFloor[[#This Row],[Angular Direction]]))*OverlapThirdFloor[[#This Row],[Unit Change]]),$R$35)</f>
        <v>0</v>
      </c>
      <c r="S47" s="48">
        <f>IFERROR(IF(SIN(RADIANS(OverlapThirdFloor[[#This Row],[Angular Direction]]))*OverlapThirdFloor[[#This Row],[Unit Change]]=0,S46,S46+SIN(RADIANS(OverlapThirdFloor[[#This Row],[Angular Direction]]))*OverlapThirdFloor[[#This Row],[Unit Change]]),$S$35)</f>
        <v>-15</v>
      </c>
      <c r="T47" s="48">
        <f>R46*OverlapThirdFloor[[#This Row],[Y-Axis]]-S46*OverlapThirdFloor[[#This Row],[X-Axis]]</f>
        <v>0</v>
      </c>
    </row>
    <row r="48" spans="1:20" x14ac:dyDescent="0.45">
      <c r="A48" s="37">
        <v>13</v>
      </c>
      <c r="B48" s="34"/>
      <c r="C48" s="35"/>
      <c r="D48" s="34"/>
      <c r="E48" s="34"/>
      <c r="F48" s="37">
        <f>ThirdFloor[[#This Row],[Unit Change]]+$B$33*2</f>
        <v>0</v>
      </c>
      <c r="G48" s="37" t="str">
        <f>_xlfn.IFNA(IF(ThirdFloor[[#This Row],[Custom Angular Direction]]="",INDEX(Direction[Degree],MATCH(ThirdFloor[[#This Row],[Direction]],Direction[Direction],0)),ThirdFloor[[#This Row],[Custom Angular Direction]]),"")</f>
        <v/>
      </c>
      <c r="H48" s="48">
        <f>IFERROR(IF(COS(RADIANS(ThirdFloor[[#This Row],[Angular Direction]]))*ThirdFloor[[#This Row],[Unit Change]]=0,H47,H47+COS(RADIANS(ThirdFloor[[#This Row],[Angular Direction]]))*ThirdFloor[[#This Row],[Unit Change]]),$H$35)</f>
        <v>0</v>
      </c>
      <c r="I48" s="48">
        <f>IFERROR(IF(SIN(RADIANS(ThirdFloor[[#This Row],[Angular Direction]]))*ThirdFloor[[#This Row],[Unit Change]]=0,I47,I47+SIN(RADIANS(ThirdFloor[[#This Row],[Angular Direction]]))*ThirdFloor[[#This Row],[Unit Change]]),$I$35)</f>
        <v>-15</v>
      </c>
      <c r="J48" s="48">
        <f>H47*ThirdFloor[[#This Row],[Y-Axis]]-I47*ThirdFloor[[#This Row],[X-Axis]]</f>
        <v>0</v>
      </c>
      <c r="L48" s="37">
        <v>13</v>
      </c>
      <c r="M48" s="34"/>
      <c r="N48" s="35"/>
      <c r="O48" s="55"/>
      <c r="P48" s="37">
        <f>OverlapThirdFloor[[#This Row],[Unit Change]]+$B$33*2</f>
        <v>0</v>
      </c>
      <c r="Q48" s="37" t="str">
        <f>_xlfn.IFNA(IF(OverlapThirdFloor[[#This Row],[Custom Angular Direction]]="",INDEX(Direction[Degree],MATCH(OverlapThirdFloor[[#This Row],[Direction]],Direction[Direction],0)),OverlapThirdFloor[[#This Row],[Custom Angular Direction]]),"")</f>
        <v/>
      </c>
      <c r="R48" s="48">
        <f>IFERROR(IF(COS(RADIANS(OverlapThirdFloor[[#This Row],[Angular Direction]]))*OverlapThirdFloor[[#This Row],[Unit Change]]=0,R47,R47+COS(RADIANS(OverlapThirdFloor[[#This Row],[Angular Direction]]))*OverlapThirdFloor[[#This Row],[Unit Change]]),$R$35)</f>
        <v>0</v>
      </c>
      <c r="S48" s="48">
        <f>IFERROR(IF(SIN(RADIANS(OverlapThirdFloor[[#This Row],[Angular Direction]]))*OverlapThirdFloor[[#This Row],[Unit Change]]=0,S47,S47+SIN(RADIANS(OverlapThirdFloor[[#This Row],[Angular Direction]]))*OverlapThirdFloor[[#This Row],[Unit Change]]),$S$35)</f>
        <v>-15</v>
      </c>
      <c r="T48" s="48">
        <f>R47*OverlapThirdFloor[[#This Row],[Y-Axis]]-S47*OverlapThirdFloor[[#This Row],[X-Axis]]</f>
        <v>0</v>
      </c>
    </row>
    <row r="49" spans="1:20" x14ac:dyDescent="0.45">
      <c r="A49" s="37">
        <v>14</v>
      </c>
      <c r="B49" s="34"/>
      <c r="C49" s="35"/>
      <c r="D49" s="34"/>
      <c r="E49" s="34"/>
      <c r="F49" s="37">
        <f>ThirdFloor[[#This Row],[Unit Change]]+$B$33*2</f>
        <v>0</v>
      </c>
      <c r="G49" s="37" t="str">
        <f>_xlfn.IFNA(IF(ThirdFloor[[#This Row],[Custom Angular Direction]]="",INDEX(Direction[Degree],MATCH(ThirdFloor[[#This Row],[Direction]],Direction[Direction],0)),ThirdFloor[[#This Row],[Custom Angular Direction]]),"")</f>
        <v/>
      </c>
      <c r="H49" s="48">
        <f>IFERROR(IF(COS(RADIANS(ThirdFloor[[#This Row],[Angular Direction]]))*ThirdFloor[[#This Row],[Unit Change]]=0,H48,H48+COS(RADIANS(ThirdFloor[[#This Row],[Angular Direction]]))*ThirdFloor[[#This Row],[Unit Change]]),$H$35)</f>
        <v>0</v>
      </c>
      <c r="I49" s="48">
        <f>IFERROR(IF(SIN(RADIANS(ThirdFloor[[#This Row],[Angular Direction]]))*ThirdFloor[[#This Row],[Unit Change]]=0,I48,I48+SIN(RADIANS(ThirdFloor[[#This Row],[Angular Direction]]))*ThirdFloor[[#This Row],[Unit Change]]),$I$35)</f>
        <v>-15</v>
      </c>
      <c r="J49" s="48">
        <f>H48*ThirdFloor[[#This Row],[Y-Axis]]-I48*ThirdFloor[[#This Row],[X-Axis]]</f>
        <v>0</v>
      </c>
      <c r="L49" s="37">
        <v>14</v>
      </c>
      <c r="M49" s="34"/>
      <c r="N49" s="35"/>
      <c r="O49" s="55"/>
      <c r="P49" s="37">
        <f>OverlapThirdFloor[[#This Row],[Unit Change]]+$B$33*2</f>
        <v>0</v>
      </c>
      <c r="Q49" s="37" t="str">
        <f>_xlfn.IFNA(IF(OverlapThirdFloor[[#This Row],[Custom Angular Direction]]="",INDEX(Direction[Degree],MATCH(OverlapThirdFloor[[#This Row],[Direction]],Direction[Direction],0)),OverlapThirdFloor[[#This Row],[Custom Angular Direction]]),"")</f>
        <v/>
      </c>
      <c r="R49" s="48">
        <f>IFERROR(IF(COS(RADIANS(OverlapThirdFloor[[#This Row],[Angular Direction]]))*OverlapThirdFloor[[#This Row],[Unit Change]]=0,R48,R48+COS(RADIANS(OverlapThirdFloor[[#This Row],[Angular Direction]]))*OverlapThirdFloor[[#This Row],[Unit Change]]),$R$35)</f>
        <v>0</v>
      </c>
      <c r="S49" s="48">
        <f>IFERROR(IF(SIN(RADIANS(OverlapThirdFloor[[#This Row],[Angular Direction]]))*OverlapThirdFloor[[#This Row],[Unit Change]]=0,S48,S48+SIN(RADIANS(OverlapThirdFloor[[#This Row],[Angular Direction]]))*OverlapThirdFloor[[#This Row],[Unit Change]]),$S$35)</f>
        <v>-15</v>
      </c>
      <c r="T49" s="48">
        <f>R48*OverlapThirdFloor[[#This Row],[Y-Axis]]-S48*OverlapThirdFloor[[#This Row],[X-Axis]]</f>
        <v>0</v>
      </c>
    </row>
    <row r="50" spans="1:20" x14ac:dyDescent="0.45">
      <c r="A50" s="37">
        <v>15</v>
      </c>
      <c r="B50" s="34"/>
      <c r="C50" s="35"/>
      <c r="D50" s="34"/>
      <c r="E50" s="34"/>
      <c r="F50" s="37">
        <f>ThirdFloor[[#This Row],[Unit Change]]+$B$33*2</f>
        <v>0</v>
      </c>
      <c r="G50" s="37" t="str">
        <f>_xlfn.IFNA(IF(ThirdFloor[[#This Row],[Custom Angular Direction]]="",INDEX(Direction[Degree],MATCH(ThirdFloor[[#This Row],[Direction]],Direction[Direction],0)),ThirdFloor[[#This Row],[Custom Angular Direction]]),"")</f>
        <v/>
      </c>
      <c r="H50" s="48">
        <f>IFERROR(IF(COS(RADIANS(ThirdFloor[[#This Row],[Angular Direction]]))*ThirdFloor[[#This Row],[Unit Change]]=0,H49,H49+COS(RADIANS(ThirdFloor[[#This Row],[Angular Direction]]))*ThirdFloor[[#This Row],[Unit Change]]),$H$35)</f>
        <v>0</v>
      </c>
      <c r="I50" s="48">
        <f>IFERROR(IF(SIN(RADIANS(ThirdFloor[[#This Row],[Angular Direction]]))*ThirdFloor[[#This Row],[Unit Change]]=0,I49,I49+SIN(RADIANS(ThirdFloor[[#This Row],[Angular Direction]]))*ThirdFloor[[#This Row],[Unit Change]]),$I$35)</f>
        <v>-15</v>
      </c>
      <c r="J50" s="48">
        <f>H49*ThirdFloor[[#This Row],[Y-Axis]]-I49*ThirdFloor[[#This Row],[X-Axis]]</f>
        <v>0</v>
      </c>
      <c r="L50" s="37">
        <v>15</v>
      </c>
      <c r="M50" s="34"/>
      <c r="N50" s="35"/>
      <c r="O50" s="55"/>
      <c r="P50" s="37">
        <f>OverlapThirdFloor[[#This Row],[Unit Change]]+$B$33*2</f>
        <v>0</v>
      </c>
      <c r="Q50" s="37" t="str">
        <f>_xlfn.IFNA(IF(OverlapThirdFloor[[#This Row],[Custom Angular Direction]]="",INDEX(Direction[Degree],MATCH(OverlapThirdFloor[[#This Row],[Direction]],Direction[Direction],0)),OverlapThirdFloor[[#This Row],[Custom Angular Direction]]),"")</f>
        <v/>
      </c>
      <c r="R50" s="48">
        <f>IFERROR(IF(COS(RADIANS(OverlapThirdFloor[[#This Row],[Angular Direction]]))*OverlapThirdFloor[[#This Row],[Unit Change]]=0,R49,R49+COS(RADIANS(OverlapThirdFloor[[#This Row],[Angular Direction]]))*OverlapThirdFloor[[#This Row],[Unit Change]]),$R$35)</f>
        <v>0</v>
      </c>
      <c r="S50" s="48">
        <f>IFERROR(IF(SIN(RADIANS(OverlapThirdFloor[[#This Row],[Angular Direction]]))*OverlapThirdFloor[[#This Row],[Unit Change]]=0,S49,S49+SIN(RADIANS(OverlapThirdFloor[[#This Row],[Angular Direction]]))*OverlapThirdFloor[[#This Row],[Unit Change]]),$S$35)</f>
        <v>-15</v>
      </c>
      <c r="T50" s="48">
        <f>R49*OverlapThirdFloor[[#This Row],[Y-Axis]]-S49*OverlapThirdFloor[[#This Row],[X-Axis]]</f>
        <v>0</v>
      </c>
    </row>
    <row r="51" spans="1:20" x14ac:dyDescent="0.45">
      <c r="A51" s="37">
        <v>16</v>
      </c>
      <c r="B51" s="34"/>
      <c r="C51" s="35"/>
      <c r="D51" s="34"/>
      <c r="E51" s="34"/>
      <c r="F51" s="37">
        <f>ThirdFloor[[#This Row],[Unit Change]]+$B$33*2</f>
        <v>0</v>
      </c>
      <c r="G51" s="37" t="str">
        <f>_xlfn.IFNA(IF(ThirdFloor[[#This Row],[Custom Angular Direction]]="",INDEX(Direction[Degree],MATCH(ThirdFloor[[#This Row],[Direction]],Direction[Direction],0)),ThirdFloor[[#This Row],[Custom Angular Direction]]),"")</f>
        <v/>
      </c>
      <c r="H51" s="48">
        <f>IFERROR(IF(COS(RADIANS(ThirdFloor[[#This Row],[Angular Direction]]))*ThirdFloor[[#This Row],[Unit Change]]=0,H50,H50+COS(RADIANS(ThirdFloor[[#This Row],[Angular Direction]]))*ThirdFloor[[#This Row],[Unit Change]]),$H$35)</f>
        <v>0</v>
      </c>
      <c r="I51" s="48">
        <f>IFERROR(IF(SIN(RADIANS(ThirdFloor[[#This Row],[Angular Direction]]))*ThirdFloor[[#This Row],[Unit Change]]=0,I50,I50+SIN(RADIANS(ThirdFloor[[#This Row],[Angular Direction]]))*ThirdFloor[[#This Row],[Unit Change]]),$I$35)</f>
        <v>-15</v>
      </c>
      <c r="J51" s="48">
        <f>H50*ThirdFloor[[#This Row],[Y-Axis]]-I50*ThirdFloor[[#This Row],[X-Axis]]</f>
        <v>0</v>
      </c>
      <c r="L51" s="37">
        <v>16</v>
      </c>
      <c r="M51" s="34"/>
      <c r="N51" s="35"/>
      <c r="O51" s="55"/>
      <c r="P51" s="37">
        <f>OverlapThirdFloor[[#This Row],[Unit Change]]+$B$33*2</f>
        <v>0</v>
      </c>
      <c r="Q51" s="37" t="str">
        <f>_xlfn.IFNA(IF(OverlapThirdFloor[[#This Row],[Custom Angular Direction]]="",INDEX(Direction[Degree],MATCH(OverlapThirdFloor[[#This Row],[Direction]],Direction[Direction],0)),OverlapThirdFloor[[#This Row],[Custom Angular Direction]]),"")</f>
        <v/>
      </c>
      <c r="R51" s="48">
        <f>IFERROR(IF(COS(RADIANS(OverlapThirdFloor[[#This Row],[Angular Direction]]))*OverlapThirdFloor[[#This Row],[Unit Change]]=0,R50,R50+COS(RADIANS(OverlapThirdFloor[[#This Row],[Angular Direction]]))*OverlapThirdFloor[[#This Row],[Unit Change]]),$R$35)</f>
        <v>0</v>
      </c>
      <c r="S51" s="48">
        <f>IFERROR(IF(SIN(RADIANS(OverlapThirdFloor[[#This Row],[Angular Direction]]))*OverlapThirdFloor[[#This Row],[Unit Change]]=0,S50,S50+SIN(RADIANS(OverlapThirdFloor[[#This Row],[Angular Direction]]))*OverlapThirdFloor[[#This Row],[Unit Change]]),$S$35)</f>
        <v>-15</v>
      </c>
      <c r="T51" s="48">
        <f>R50*OverlapThirdFloor[[#This Row],[Y-Axis]]-S50*OverlapThirdFloor[[#This Row],[X-Axis]]</f>
        <v>0</v>
      </c>
    </row>
    <row r="52" spans="1:20" x14ac:dyDescent="0.45">
      <c r="A52" s="37">
        <v>17</v>
      </c>
      <c r="B52" s="34"/>
      <c r="C52" s="35"/>
      <c r="D52" s="34"/>
      <c r="E52" s="34"/>
      <c r="F52" s="37">
        <f>ThirdFloor[[#This Row],[Unit Change]]+$B$33*2</f>
        <v>0</v>
      </c>
      <c r="G52" s="37" t="str">
        <f>_xlfn.IFNA(IF(ThirdFloor[[#This Row],[Custom Angular Direction]]="",INDEX(Direction[Degree],MATCH(ThirdFloor[[#This Row],[Direction]],Direction[Direction],0)),ThirdFloor[[#This Row],[Custom Angular Direction]]),"")</f>
        <v/>
      </c>
      <c r="H52" s="48">
        <f>IFERROR(IF(COS(RADIANS(ThirdFloor[[#This Row],[Angular Direction]]))*ThirdFloor[[#This Row],[Unit Change]]=0,H51,H51+COS(RADIANS(ThirdFloor[[#This Row],[Angular Direction]]))*ThirdFloor[[#This Row],[Unit Change]]),$H$35)</f>
        <v>0</v>
      </c>
      <c r="I52" s="48">
        <f>IFERROR(IF(SIN(RADIANS(ThirdFloor[[#This Row],[Angular Direction]]))*ThirdFloor[[#This Row],[Unit Change]]=0,I51,I51+SIN(RADIANS(ThirdFloor[[#This Row],[Angular Direction]]))*ThirdFloor[[#This Row],[Unit Change]]),$I$35)</f>
        <v>-15</v>
      </c>
      <c r="J52" s="48">
        <f>H51*ThirdFloor[[#This Row],[Y-Axis]]-I51*ThirdFloor[[#This Row],[X-Axis]]</f>
        <v>0</v>
      </c>
      <c r="L52" s="37">
        <v>17</v>
      </c>
      <c r="M52" s="34"/>
      <c r="N52" s="35"/>
      <c r="O52" s="55"/>
      <c r="P52" s="37">
        <f>OverlapThirdFloor[[#This Row],[Unit Change]]+$B$33*2</f>
        <v>0</v>
      </c>
      <c r="Q52" s="37" t="str">
        <f>_xlfn.IFNA(IF(OverlapThirdFloor[[#This Row],[Custom Angular Direction]]="",INDEX(Direction[Degree],MATCH(OverlapThirdFloor[[#This Row],[Direction]],Direction[Direction],0)),OverlapThirdFloor[[#This Row],[Custom Angular Direction]]),"")</f>
        <v/>
      </c>
      <c r="R52" s="48">
        <f>IFERROR(IF(COS(RADIANS(OverlapThirdFloor[[#This Row],[Angular Direction]]))*OverlapThirdFloor[[#This Row],[Unit Change]]=0,R51,R51+COS(RADIANS(OverlapThirdFloor[[#This Row],[Angular Direction]]))*OverlapThirdFloor[[#This Row],[Unit Change]]),$R$35)</f>
        <v>0</v>
      </c>
      <c r="S52" s="48">
        <f>IFERROR(IF(SIN(RADIANS(OverlapThirdFloor[[#This Row],[Angular Direction]]))*OverlapThirdFloor[[#This Row],[Unit Change]]=0,S51,S51+SIN(RADIANS(OverlapThirdFloor[[#This Row],[Angular Direction]]))*OverlapThirdFloor[[#This Row],[Unit Change]]),$S$35)</f>
        <v>-15</v>
      </c>
      <c r="T52" s="48">
        <f>R51*OverlapThirdFloor[[#This Row],[Y-Axis]]-S51*OverlapThirdFloor[[#This Row],[X-Axis]]</f>
        <v>0</v>
      </c>
    </row>
    <row r="53" spans="1:20" x14ac:dyDescent="0.45">
      <c r="A53" s="37">
        <v>18</v>
      </c>
      <c r="B53" s="34"/>
      <c r="C53" s="35"/>
      <c r="D53" s="34"/>
      <c r="E53" s="34"/>
      <c r="F53" s="37">
        <f>ThirdFloor[[#This Row],[Unit Change]]+$B$33*2</f>
        <v>0</v>
      </c>
      <c r="G53" s="37" t="str">
        <f>_xlfn.IFNA(IF(ThirdFloor[[#This Row],[Custom Angular Direction]]="",INDEX(Direction[Degree],MATCH(ThirdFloor[[#This Row],[Direction]],Direction[Direction],0)),ThirdFloor[[#This Row],[Custom Angular Direction]]),"")</f>
        <v/>
      </c>
      <c r="H53" s="48">
        <f>IFERROR(IF(COS(RADIANS(ThirdFloor[[#This Row],[Angular Direction]]))*ThirdFloor[[#This Row],[Unit Change]]=0,H52,H52+COS(RADIANS(ThirdFloor[[#This Row],[Angular Direction]]))*ThirdFloor[[#This Row],[Unit Change]]),$H$35)</f>
        <v>0</v>
      </c>
      <c r="I53" s="48">
        <f>IFERROR(IF(SIN(RADIANS(ThirdFloor[[#This Row],[Angular Direction]]))*ThirdFloor[[#This Row],[Unit Change]]=0,I52,I52+SIN(RADIANS(ThirdFloor[[#This Row],[Angular Direction]]))*ThirdFloor[[#This Row],[Unit Change]]),$I$35)</f>
        <v>-15</v>
      </c>
      <c r="J53" s="48">
        <f>H52*ThirdFloor[[#This Row],[Y-Axis]]-I52*ThirdFloor[[#This Row],[X-Axis]]</f>
        <v>0</v>
      </c>
      <c r="L53" s="37">
        <v>18</v>
      </c>
      <c r="M53" s="34"/>
      <c r="N53" s="35"/>
      <c r="O53" s="55"/>
      <c r="P53" s="37">
        <f>OverlapThirdFloor[[#This Row],[Unit Change]]+$B$33*2</f>
        <v>0</v>
      </c>
      <c r="Q53" s="37" t="str">
        <f>_xlfn.IFNA(IF(OverlapThirdFloor[[#This Row],[Custom Angular Direction]]="",INDEX(Direction[Degree],MATCH(OverlapThirdFloor[[#This Row],[Direction]],Direction[Direction],0)),OverlapThirdFloor[[#This Row],[Custom Angular Direction]]),"")</f>
        <v/>
      </c>
      <c r="R53" s="48">
        <f>IFERROR(IF(COS(RADIANS(OverlapThirdFloor[[#This Row],[Angular Direction]]))*OverlapThirdFloor[[#This Row],[Unit Change]]=0,R52,R52+COS(RADIANS(OverlapThirdFloor[[#This Row],[Angular Direction]]))*OverlapThirdFloor[[#This Row],[Unit Change]]),$R$35)</f>
        <v>0</v>
      </c>
      <c r="S53" s="48">
        <f>IFERROR(IF(SIN(RADIANS(OverlapThirdFloor[[#This Row],[Angular Direction]]))*OverlapThirdFloor[[#This Row],[Unit Change]]=0,S52,S52+SIN(RADIANS(OverlapThirdFloor[[#This Row],[Angular Direction]]))*OverlapThirdFloor[[#This Row],[Unit Change]]),$S$35)</f>
        <v>-15</v>
      </c>
      <c r="T53" s="48">
        <f>R52*OverlapThirdFloor[[#This Row],[Y-Axis]]-S52*OverlapThirdFloor[[#This Row],[X-Axis]]</f>
        <v>0</v>
      </c>
    </row>
    <row r="54" spans="1:20" x14ac:dyDescent="0.45">
      <c r="A54" s="37">
        <v>19</v>
      </c>
      <c r="B54" s="34"/>
      <c r="C54" s="35"/>
      <c r="D54" s="34"/>
      <c r="E54" s="34"/>
      <c r="F54" s="37">
        <f>ThirdFloor[[#This Row],[Unit Change]]+$B$33*2</f>
        <v>0</v>
      </c>
      <c r="G54" s="37" t="str">
        <f>_xlfn.IFNA(IF(ThirdFloor[[#This Row],[Custom Angular Direction]]="",INDEX(Direction[Degree],MATCH(ThirdFloor[[#This Row],[Direction]],Direction[Direction],0)),ThirdFloor[[#This Row],[Custom Angular Direction]]),"")</f>
        <v/>
      </c>
      <c r="H54" s="48">
        <f>IFERROR(IF(COS(RADIANS(ThirdFloor[[#This Row],[Angular Direction]]))*ThirdFloor[[#This Row],[Unit Change]]=0,H53,H53+COS(RADIANS(ThirdFloor[[#This Row],[Angular Direction]]))*ThirdFloor[[#This Row],[Unit Change]]),$H$35)</f>
        <v>0</v>
      </c>
      <c r="I54" s="48">
        <f>IFERROR(IF(SIN(RADIANS(ThirdFloor[[#This Row],[Angular Direction]]))*ThirdFloor[[#This Row],[Unit Change]]=0,I53,I53+SIN(RADIANS(ThirdFloor[[#This Row],[Angular Direction]]))*ThirdFloor[[#This Row],[Unit Change]]),$I$35)</f>
        <v>-15</v>
      </c>
      <c r="J54" s="48">
        <f>H53*ThirdFloor[[#This Row],[Y-Axis]]-I53*ThirdFloor[[#This Row],[X-Axis]]</f>
        <v>0</v>
      </c>
      <c r="L54" s="37">
        <v>19</v>
      </c>
      <c r="M54" s="34"/>
      <c r="N54" s="35"/>
      <c r="O54" s="55"/>
      <c r="P54" s="37">
        <f>OverlapThirdFloor[[#This Row],[Unit Change]]+$B$33*2</f>
        <v>0</v>
      </c>
      <c r="Q54" s="37" t="str">
        <f>_xlfn.IFNA(IF(OverlapThirdFloor[[#This Row],[Custom Angular Direction]]="",INDEX(Direction[Degree],MATCH(OverlapThirdFloor[[#This Row],[Direction]],Direction[Direction],0)),OverlapThirdFloor[[#This Row],[Custom Angular Direction]]),"")</f>
        <v/>
      </c>
      <c r="R54" s="48">
        <f>IFERROR(IF(COS(RADIANS(OverlapThirdFloor[[#This Row],[Angular Direction]]))*OverlapThirdFloor[[#This Row],[Unit Change]]=0,R53,R53+COS(RADIANS(OverlapThirdFloor[[#This Row],[Angular Direction]]))*OverlapThirdFloor[[#This Row],[Unit Change]]),$R$35)</f>
        <v>0</v>
      </c>
      <c r="S54" s="48">
        <f>IFERROR(IF(SIN(RADIANS(OverlapThirdFloor[[#This Row],[Angular Direction]]))*OverlapThirdFloor[[#This Row],[Unit Change]]=0,S53,S53+SIN(RADIANS(OverlapThirdFloor[[#This Row],[Angular Direction]]))*OverlapThirdFloor[[#This Row],[Unit Change]]),$S$35)</f>
        <v>-15</v>
      </c>
      <c r="T54" s="48">
        <f>R53*OverlapThirdFloor[[#This Row],[Y-Axis]]-S53*OverlapThirdFloor[[#This Row],[X-Axis]]</f>
        <v>0</v>
      </c>
    </row>
    <row r="55" spans="1:20" x14ac:dyDescent="0.45">
      <c r="A55" s="37">
        <v>20</v>
      </c>
      <c r="B55" s="34"/>
      <c r="C55" s="35"/>
      <c r="D55" s="34"/>
      <c r="E55" s="34"/>
      <c r="F55" s="37">
        <f>ThirdFloor[[#This Row],[Unit Change]]+$B$33*2</f>
        <v>0</v>
      </c>
      <c r="G55" s="37" t="str">
        <f>_xlfn.IFNA(IF(ThirdFloor[[#This Row],[Custom Angular Direction]]="",INDEX(Direction[Degree],MATCH(ThirdFloor[[#This Row],[Direction]],Direction[Direction],0)),ThirdFloor[[#This Row],[Custom Angular Direction]]),"")</f>
        <v/>
      </c>
      <c r="H55" s="48">
        <f>IFERROR(IF(COS(RADIANS(ThirdFloor[[#This Row],[Angular Direction]]))*ThirdFloor[[#This Row],[Unit Change]]=0,H54,H54+COS(RADIANS(ThirdFloor[[#This Row],[Angular Direction]]))*ThirdFloor[[#This Row],[Unit Change]]),$H$35)</f>
        <v>0</v>
      </c>
      <c r="I55" s="48">
        <f>IFERROR(IF(SIN(RADIANS(ThirdFloor[[#This Row],[Angular Direction]]))*ThirdFloor[[#This Row],[Unit Change]]=0,I54,I54+SIN(RADIANS(ThirdFloor[[#This Row],[Angular Direction]]))*ThirdFloor[[#This Row],[Unit Change]]),$I$35)</f>
        <v>-15</v>
      </c>
      <c r="J55" s="48">
        <f>H54*ThirdFloor[[#This Row],[Y-Axis]]-I54*ThirdFloor[[#This Row],[X-Axis]]</f>
        <v>0</v>
      </c>
      <c r="L55" s="37">
        <v>20</v>
      </c>
      <c r="M55" s="34"/>
      <c r="N55" s="35"/>
      <c r="O55" s="55"/>
      <c r="P55" s="37">
        <f>OverlapThirdFloor[[#This Row],[Unit Change]]+$B$33*2</f>
        <v>0</v>
      </c>
      <c r="Q55" s="37" t="str">
        <f>_xlfn.IFNA(IF(OverlapThirdFloor[[#This Row],[Custom Angular Direction]]="",INDEX(Direction[Degree],MATCH(OverlapThirdFloor[[#This Row],[Direction]],Direction[Direction],0)),OverlapThirdFloor[[#This Row],[Custom Angular Direction]]),"")</f>
        <v/>
      </c>
      <c r="R55" s="48">
        <f>IFERROR(IF(COS(RADIANS(OverlapThirdFloor[[#This Row],[Angular Direction]]))*OverlapThirdFloor[[#This Row],[Unit Change]]=0,R54,R54+COS(RADIANS(OverlapThirdFloor[[#This Row],[Angular Direction]]))*OverlapThirdFloor[[#This Row],[Unit Change]]),$R$35)</f>
        <v>0</v>
      </c>
      <c r="S55" s="48">
        <f>IFERROR(IF(SIN(RADIANS(OverlapThirdFloor[[#This Row],[Angular Direction]]))*OverlapThirdFloor[[#This Row],[Unit Change]]=0,S54,S54+SIN(RADIANS(OverlapThirdFloor[[#This Row],[Angular Direction]]))*OverlapThirdFloor[[#This Row],[Unit Change]]),$S$35)</f>
        <v>-15</v>
      </c>
      <c r="T55" s="48">
        <f>R54*OverlapThirdFloor[[#This Row],[Y-Axis]]-S54*OverlapThirdFloor[[#This Row],[X-Axis]]</f>
        <v>0</v>
      </c>
    </row>
    <row r="56" spans="1:20" x14ac:dyDescent="0.45">
      <c r="A56" s="37">
        <v>21</v>
      </c>
      <c r="B56" s="34"/>
      <c r="C56" s="35"/>
      <c r="D56" s="34"/>
      <c r="E56" s="34"/>
      <c r="F56" s="37">
        <f>ThirdFloor[[#This Row],[Unit Change]]+$B$33*2</f>
        <v>0</v>
      </c>
      <c r="G56" s="37" t="str">
        <f>_xlfn.IFNA(IF(ThirdFloor[[#This Row],[Custom Angular Direction]]="",INDEX(Direction[Degree],MATCH(ThirdFloor[[#This Row],[Direction]],Direction[Direction],0)),ThirdFloor[[#This Row],[Custom Angular Direction]]),"")</f>
        <v/>
      </c>
      <c r="H56" s="48">
        <f>IFERROR(IF(COS(RADIANS(ThirdFloor[[#This Row],[Angular Direction]]))*ThirdFloor[[#This Row],[Unit Change]]=0,H55,H55+COS(RADIANS(ThirdFloor[[#This Row],[Angular Direction]]))*ThirdFloor[[#This Row],[Unit Change]]),$H$35)</f>
        <v>0</v>
      </c>
      <c r="I56" s="48">
        <f>IFERROR(IF(SIN(RADIANS(ThirdFloor[[#This Row],[Angular Direction]]))*ThirdFloor[[#This Row],[Unit Change]]=0,I55,I55+SIN(RADIANS(ThirdFloor[[#This Row],[Angular Direction]]))*ThirdFloor[[#This Row],[Unit Change]]),$I$35)</f>
        <v>-15</v>
      </c>
      <c r="J56" s="48">
        <f>H55*ThirdFloor[[#This Row],[Y-Axis]]-I55*ThirdFloor[[#This Row],[X-Axis]]</f>
        <v>0</v>
      </c>
      <c r="L56" s="37">
        <v>21</v>
      </c>
      <c r="M56" s="34"/>
      <c r="N56" s="35"/>
      <c r="O56" s="55"/>
      <c r="P56" s="37">
        <f>OverlapThirdFloor[[#This Row],[Unit Change]]+$B$33*2</f>
        <v>0</v>
      </c>
      <c r="Q56" s="37" t="str">
        <f>_xlfn.IFNA(IF(OverlapThirdFloor[[#This Row],[Custom Angular Direction]]="",INDEX(Direction[Degree],MATCH(OverlapThirdFloor[[#This Row],[Direction]],Direction[Direction],0)),OverlapThirdFloor[[#This Row],[Custom Angular Direction]]),"")</f>
        <v/>
      </c>
      <c r="R56" s="48">
        <f>IFERROR(IF(COS(RADIANS(OverlapThirdFloor[[#This Row],[Angular Direction]]))*OverlapThirdFloor[[#This Row],[Unit Change]]=0,R55,R55+COS(RADIANS(OverlapThirdFloor[[#This Row],[Angular Direction]]))*OverlapThirdFloor[[#This Row],[Unit Change]]),$R$35)</f>
        <v>0</v>
      </c>
      <c r="S56" s="48">
        <f>IFERROR(IF(SIN(RADIANS(OverlapThirdFloor[[#This Row],[Angular Direction]]))*OverlapThirdFloor[[#This Row],[Unit Change]]=0,S55,S55+SIN(RADIANS(OverlapThirdFloor[[#This Row],[Angular Direction]]))*OverlapThirdFloor[[#This Row],[Unit Change]]),$S$35)</f>
        <v>-15</v>
      </c>
      <c r="T56" s="48">
        <f>R55*OverlapThirdFloor[[#This Row],[Y-Axis]]-S55*OverlapThirdFloor[[#This Row],[X-Axis]]</f>
        <v>0</v>
      </c>
    </row>
    <row r="57" spans="1:20" x14ac:dyDescent="0.45">
      <c r="A57" s="37">
        <v>22</v>
      </c>
      <c r="B57" s="34"/>
      <c r="C57" s="35"/>
      <c r="D57" s="34"/>
      <c r="E57" s="34"/>
      <c r="F57" s="37">
        <f>ThirdFloor[[#This Row],[Unit Change]]+$B$33*2</f>
        <v>0</v>
      </c>
      <c r="G57" s="37" t="str">
        <f>_xlfn.IFNA(IF(ThirdFloor[[#This Row],[Custom Angular Direction]]="",INDEX(Direction[Degree],MATCH(ThirdFloor[[#This Row],[Direction]],Direction[Direction],0)),ThirdFloor[[#This Row],[Custom Angular Direction]]),"")</f>
        <v/>
      </c>
      <c r="H57" s="48">
        <f>IFERROR(IF(COS(RADIANS(ThirdFloor[[#This Row],[Angular Direction]]))*ThirdFloor[[#This Row],[Unit Change]]=0,H56,H56+COS(RADIANS(ThirdFloor[[#This Row],[Angular Direction]]))*ThirdFloor[[#This Row],[Unit Change]]),$H$35)</f>
        <v>0</v>
      </c>
      <c r="I57" s="48">
        <f>IFERROR(IF(SIN(RADIANS(ThirdFloor[[#This Row],[Angular Direction]]))*ThirdFloor[[#This Row],[Unit Change]]=0,I56,I56+SIN(RADIANS(ThirdFloor[[#This Row],[Angular Direction]]))*ThirdFloor[[#This Row],[Unit Change]]),$I$35)</f>
        <v>-15</v>
      </c>
      <c r="J57" s="48">
        <f>H56*ThirdFloor[[#This Row],[Y-Axis]]-I56*ThirdFloor[[#This Row],[X-Axis]]</f>
        <v>0</v>
      </c>
      <c r="L57" s="37">
        <v>22</v>
      </c>
      <c r="M57" s="34"/>
      <c r="N57" s="35"/>
      <c r="O57" s="55"/>
      <c r="P57" s="37">
        <f>OverlapThirdFloor[[#This Row],[Unit Change]]+$B$33*2</f>
        <v>0</v>
      </c>
      <c r="Q57" s="37" t="str">
        <f>_xlfn.IFNA(IF(OverlapThirdFloor[[#This Row],[Custom Angular Direction]]="",INDEX(Direction[Degree],MATCH(OverlapThirdFloor[[#This Row],[Direction]],Direction[Direction],0)),OverlapThirdFloor[[#This Row],[Custom Angular Direction]]),"")</f>
        <v/>
      </c>
      <c r="R57" s="48">
        <f>IFERROR(IF(COS(RADIANS(OverlapThirdFloor[[#This Row],[Angular Direction]]))*OverlapThirdFloor[[#This Row],[Unit Change]]=0,R56,R56+COS(RADIANS(OverlapThirdFloor[[#This Row],[Angular Direction]]))*OverlapThirdFloor[[#This Row],[Unit Change]]),$R$35)</f>
        <v>0</v>
      </c>
      <c r="S57" s="48">
        <f>IFERROR(IF(SIN(RADIANS(OverlapThirdFloor[[#This Row],[Angular Direction]]))*OverlapThirdFloor[[#This Row],[Unit Change]]=0,S56,S56+SIN(RADIANS(OverlapThirdFloor[[#This Row],[Angular Direction]]))*OverlapThirdFloor[[#This Row],[Unit Change]]),$S$35)</f>
        <v>-15</v>
      </c>
      <c r="T57" s="48">
        <f>R56*OverlapThirdFloor[[#This Row],[Y-Axis]]-S56*OverlapThirdFloor[[#This Row],[X-Axis]]</f>
        <v>0</v>
      </c>
    </row>
    <row r="58" spans="1:20" x14ac:dyDescent="0.45">
      <c r="A58" s="37">
        <v>23</v>
      </c>
      <c r="B58" s="34"/>
      <c r="C58" s="35"/>
      <c r="D58" s="34"/>
      <c r="E58" s="34"/>
      <c r="F58" s="37">
        <f>ThirdFloor[[#This Row],[Unit Change]]+$B$33*2</f>
        <v>0</v>
      </c>
      <c r="G58" s="37" t="str">
        <f>_xlfn.IFNA(IF(ThirdFloor[[#This Row],[Custom Angular Direction]]="",INDEX(Direction[Degree],MATCH(ThirdFloor[[#This Row],[Direction]],Direction[Direction],0)),ThirdFloor[[#This Row],[Custom Angular Direction]]),"")</f>
        <v/>
      </c>
      <c r="H58" s="48">
        <f>IFERROR(IF(COS(RADIANS(ThirdFloor[[#This Row],[Angular Direction]]))*ThirdFloor[[#This Row],[Unit Change]]=0,H57,H57+COS(RADIANS(ThirdFloor[[#This Row],[Angular Direction]]))*ThirdFloor[[#This Row],[Unit Change]]),$H$35)</f>
        <v>0</v>
      </c>
      <c r="I58" s="48">
        <f>IFERROR(IF(SIN(RADIANS(ThirdFloor[[#This Row],[Angular Direction]]))*ThirdFloor[[#This Row],[Unit Change]]=0,I57,I57+SIN(RADIANS(ThirdFloor[[#This Row],[Angular Direction]]))*ThirdFloor[[#This Row],[Unit Change]]),$I$35)</f>
        <v>-15</v>
      </c>
      <c r="J58" s="48">
        <f>H57*ThirdFloor[[#This Row],[Y-Axis]]-I57*ThirdFloor[[#This Row],[X-Axis]]</f>
        <v>0</v>
      </c>
      <c r="L58" s="37">
        <v>23</v>
      </c>
      <c r="M58" s="34"/>
      <c r="N58" s="35"/>
      <c r="O58" s="55"/>
      <c r="P58" s="37">
        <f>OverlapThirdFloor[[#This Row],[Unit Change]]+$B$33*2</f>
        <v>0</v>
      </c>
      <c r="Q58" s="37" t="str">
        <f>_xlfn.IFNA(IF(OverlapThirdFloor[[#This Row],[Custom Angular Direction]]="",INDEX(Direction[Degree],MATCH(OverlapThirdFloor[[#This Row],[Direction]],Direction[Direction],0)),OverlapThirdFloor[[#This Row],[Custom Angular Direction]]),"")</f>
        <v/>
      </c>
      <c r="R58" s="48">
        <f>IFERROR(IF(COS(RADIANS(OverlapThirdFloor[[#This Row],[Angular Direction]]))*OverlapThirdFloor[[#This Row],[Unit Change]]=0,R57,R57+COS(RADIANS(OverlapThirdFloor[[#This Row],[Angular Direction]]))*OverlapThirdFloor[[#This Row],[Unit Change]]),$R$35)</f>
        <v>0</v>
      </c>
      <c r="S58" s="48">
        <f>IFERROR(IF(SIN(RADIANS(OverlapThirdFloor[[#This Row],[Angular Direction]]))*OverlapThirdFloor[[#This Row],[Unit Change]]=0,S57,S57+SIN(RADIANS(OverlapThirdFloor[[#This Row],[Angular Direction]]))*OverlapThirdFloor[[#This Row],[Unit Change]]),$S$35)</f>
        <v>-15</v>
      </c>
      <c r="T58" s="48">
        <f>R57*OverlapThirdFloor[[#This Row],[Y-Axis]]-S57*OverlapThirdFloor[[#This Row],[X-Axis]]</f>
        <v>0</v>
      </c>
    </row>
    <row r="59" spans="1:20" x14ac:dyDescent="0.45">
      <c r="A59" s="37">
        <v>24</v>
      </c>
      <c r="B59" s="34"/>
      <c r="C59" s="35"/>
      <c r="D59" s="34"/>
      <c r="E59" s="34"/>
      <c r="F59" s="37">
        <f>ThirdFloor[[#This Row],[Unit Change]]+$B$33*2</f>
        <v>0</v>
      </c>
      <c r="G59" s="37" t="str">
        <f>_xlfn.IFNA(IF(ThirdFloor[[#This Row],[Custom Angular Direction]]="",INDEX(Direction[Degree],MATCH(ThirdFloor[[#This Row],[Direction]],Direction[Direction],0)),ThirdFloor[[#This Row],[Custom Angular Direction]]),"")</f>
        <v/>
      </c>
      <c r="H59" s="48">
        <f>IFERROR(IF(COS(RADIANS(ThirdFloor[[#This Row],[Angular Direction]]))*ThirdFloor[[#This Row],[Unit Change]]=0,H58,H58+COS(RADIANS(ThirdFloor[[#This Row],[Angular Direction]]))*ThirdFloor[[#This Row],[Unit Change]]),$H$35)</f>
        <v>0</v>
      </c>
      <c r="I59" s="48">
        <f>IFERROR(IF(SIN(RADIANS(ThirdFloor[[#This Row],[Angular Direction]]))*ThirdFloor[[#This Row],[Unit Change]]=0,I58,I58+SIN(RADIANS(ThirdFloor[[#This Row],[Angular Direction]]))*ThirdFloor[[#This Row],[Unit Change]]),$I$35)</f>
        <v>-15</v>
      </c>
      <c r="J59" s="48">
        <f>H58*ThirdFloor[[#This Row],[Y-Axis]]-I58*ThirdFloor[[#This Row],[X-Axis]]</f>
        <v>0</v>
      </c>
      <c r="L59" s="37">
        <v>24</v>
      </c>
      <c r="M59" s="34"/>
      <c r="N59" s="35"/>
      <c r="O59" s="55"/>
      <c r="P59" s="37">
        <f>OverlapThirdFloor[[#This Row],[Unit Change]]+$B$33*2</f>
        <v>0</v>
      </c>
      <c r="Q59" s="37" t="str">
        <f>_xlfn.IFNA(IF(OverlapThirdFloor[[#This Row],[Custom Angular Direction]]="",INDEX(Direction[Degree],MATCH(OverlapThirdFloor[[#This Row],[Direction]],Direction[Direction],0)),OverlapThirdFloor[[#This Row],[Custom Angular Direction]]),"")</f>
        <v/>
      </c>
      <c r="R59" s="48">
        <f>IFERROR(IF(COS(RADIANS(OverlapThirdFloor[[#This Row],[Angular Direction]]))*OverlapThirdFloor[[#This Row],[Unit Change]]=0,R58,R58+COS(RADIANS(OverlapThirdFloor[[#This Row],[Angular Direction]]))*OverlapThirdFloor[[#This Row],[Unit Change]]),$R$35)</f>
        <v>0</v>
      </c>
      <c r="S59" s="48">
        <f>IFERROR(IF(SIN(RADIANS(OverlapThirdFloor[[#This Row],[Angular Direction]]))*OverlapThirdFloor[[#This Row],[Unit Change]]=0,S58,S58+SIN(RADIANS(OverlapThirdFloor[[#This Row],[Angular Direction]]))*OverlapThirdFloor[[#This Row],[Unit Change]]),$S$35)</f>
        <v>-15</v>
      </c>
      <c r="T59" s="48">
        <f>R58*OverlapThirdFloor[[#This Row],[Y-Axis]]-S58*OverlapThirdFloor[[#This Row],[X-Axis]]</f>
        <v>0</v>
      </c>
    </row>
    <row r="60" spans="1:20" x14ac:dyDescent="0.45">
      <c r="A60" s="37">
        <v>25</v>
      </c>
      <c r="B60" s="34"/>
      <c r="C60" s="35"/>
      <c r="D60" s="34"/>
      <c r="E60" s="34"/>
      <c r="F60" s="37">
        <f>ThirdFloor[[#This Row],[Unit Change]]+$B$33*2</f>
        <v>0</v>
      </c>
      <c r="G60" s="37" t="str">
        <f>_xlfn.IFNA(IF(ThirdFloor[[#This Row],[Custom Angular Direction]]="",INDEX(Direction[Degree],MATCH(ThirdFloor[[#This Row],[Direction]],Direction[Direction],0)),ThirdFloor[[#This Row],[Custom Angular Direction]]),"")</f>
        <v/>
      </c>
      <c r="H60" s="48">
        <f>IFERROR(IF(COS(RADIANS(ThirdFloor[[#This Row],[Angular Direction]]))*ThirdFloor[[#This Row],[Unit Change]]=0,H59,H59+COS(RADIANS(ThirdFloor[[#This Row],[Angular Direction]]))*ThirdFloor[[#This Row],[Unit Change]]),$H$35)</f>
        <v>0</v>
      </c>
      <c r="I60" s="48">
        <f>IFERROR(IF(SIN(RADIANS(ThirdFloor[[#This Row],[Angular Direction]]))*ThirdFloor[[#This Row],[Unit Change]]=0,I59,I59+SIN(RADIANS(ThirdFloor[[#This Row],[Angular Direction]]))*ThirdFloor[[#This Row],[Unit Change]]),$I$35)</f>
        <v>-15</v>
      </c>
      <c r="J60" s="48">
        <f>H59*ThirdFloor[[#This Row],[Y-Axis]]-I59*ThirdFloor[[#This Row],[X-Axis]]</f>
        <v>0</v>
      </c>
      <c r="L60" s="37">
        <v>25</v>
      </c>
      <c r="M60" s="34"/>
      <c r="N60" s="35"/>
      <c r="O60" s="55"/>
      <c r="P60" s="37">
        <f>OverlapThirdFloor[[#This Row],[Unit Change]]+$B$33*2</f>
        <v>0</v>
      </c>
      <c r="Q60" s="37" t="str">
        <f>_xlfn.IFNA(IF(OverlapThirdFloor[[#This Row],[Custom Angular Direction]]="",INDEX(Direction[Degree],MATCH(OverlapThirdFloor[[#This Row],[Direction]],Direction[Direction],0)),OverlapThirdFloor[[#This Row],[Custom Angular Direction]]),"")</f>
        <v/>
      </c>
      <c r="R60" s="48">
        <f>IFERROR(IF(COS(RADIANS(OverlapThirdFloor[[#This Row],[Angular Direction]]))*OverlapThirdFloor[[#This Row],[Unit Change]]=0,R59,R59+COS(RADIANS(OverlapThirdFloor[[#This Row],[Angular Direction]]))*OverlapThirdFloor[[#This Row],[Unit Change]]),$R$35)</f>
        <v>0</v>
      </c>
      <c r="S60" s="48">
        <f>IFERROR(IF(SIN(RADIANS(OverlapThirdFloor[[#This Row],[Angular Direction]]))*OverlapThirdFloor[[#This Row],[Unit Change]]=0,S59,S59+SIN(RADIANS(OverlapThirdFloor[[#This Row],[Angular Direction]]))*OverlapThirdFloor[[#This Row],[Unit Change]]),$S$35)</f>
        <v>-15</v>
      </c>
      <c r="T60" s="48">
        <f>R59*OverlapThirdFloor[[#This Row],[Y-Axis]]-S59*OverlapThirdFloor[[#This Row],[X-Axis]]</f>
        <v>0</v>
      </c>
    </row>
    <row r="61" spans="1:20" x14ac:dyDescent="0.45">
      <c r="A61" s="37">
        <v>26</v>
      </c>
      <c r="B61" s="34"/>
      <c r="C61" s="35"/>
      <c r="D61" s="34"/>
      <c r="E61" s="34"/>
      <c r="F61" s="37">
        <f>ThirdFloor[[#This Row],[Unit Change]]+$B$33*2</f>
        <v>0</v>
      </c>
      <c r="G61" s="37" t="str">
        <f>_xlfn.IFNA(IF(ThirdFloor[[#This Row],[Custom Angular Direction]]="",INDEX(Direction[Degree],MATCH(ThirdFloor[[#This Row],[Direction]],Direction[Direction],0)),ThirdFloor[[#This Row],[Custom Angular Direction]]),"")</f>
        <v/>
      </c>
      <c r="H61" s="48">
        <f>IFERROR(IF(COS(RADIANS(ThirdFloor[[#This Row],[Angular Direction]]))*ThirdFloor[[#This Row],[Unit Change]]=0,H60,H60+COS(RADIANS(ThirdFloor[[#This Row],[Angular Direction]]))*ThirdFloor[[#This Row],[Unit Change]]),$H$35)</f>
        <v>0</v>
      </c>
      <c r="I61" s="48">
        <f>IFERROR(IF(SIN(RADIANS(ThirdFloor[[#This Row],[Angular Direction]]))*ThirdFloor[[#This Row],[Unit Change]]=0,I60,I60+SIN(RADIANS(ThirdFloor[[#This Row],[Angular Direction]]))*ThirdFloor[[#This Row],[Unit Change]]),$I$35)</f>
        <v>-15</v>
      </c>
      <c r="J61" s="48">
        <f>H60*ThirdFloor[[#This Row],[Y-Axis]]-I60*ThirdFloor[[#This Row],[X-Axis]]</f>
        <v>0</v>
      </c>
      <c r="L61" s="37">
        <v>26</v>
      </c>
      <c r="M61" s="34"/>
      <c r="N61" s="35"/>
      <c r="O61" s="55"/>
      <c r="P61" s="37">
        <f>OverlapThirdFloor[[#This Row],[Unit Change]]+$B$33*2</f>
        <v>0</v>
      </c>
      <c r="Q61" s="37" t="str">
        <f>_xlfn.IFNA(IF(OverlapThirdFloor[[#This Row],[Custom Angular Direction]]="",INDEX(Direction[Degree],MATCH(OverlapThirdFloor[[#This Row],[Direction]],Direction[Direction],0)),OverlapThirdFloor[[#This Row],[Custom Angular Direction]]),"")</f>
        <v/>
      </c>
      <c r="R61" s="48">
        <f>IFERROR(IF(COS(RADIANS(OverlapThirdFloor[[#This Row],[Angular Direction]]))*OverlapThirdFloor[[#This Row],[Unit Change]]=0,R60,R60+COS(RADIANS(OverlapThirdFloor[[#This Row],[Angular Direction]]))*OverlapThirdFloor[[#This Row],[Unit Change]]),$R$35)</f>
        <v>0</v>
      </c>
      <c r="S61" s="48">
        <f>IFERROR(IF(SIN(RADIANS(OverlapThirdFloor[[#This Row],[Angular Direction]]))*OverlapThirdFloor[[#This Row],[Unit Change]]=0,S60,S60+SIN(RADIANS(OverlapThirdFloor[[#This Row],[Angular Direction]]))*OverlapThirdFloor[[#This Row],[Unit Change]]),$S$35)</f>
        <v>-15</v>
      </c>
      <c r="T61" s="48">
        <f>R60*OverlapThirdFloor[[#This Row],[Y-Axis]]-S60*OverlapThirdFloor[[#This Row],[X-Axis]]</f>
        <v>0</v>
      </c>
    </row>
    <row r="62" spans="1:20" x14ac:dyDescent="0.45">
      <c r="A62" s="37">
        <v>27</v>
      </c>
      <c r="B62" s="34"/>
      <c r="C62" s="35"/>
      <c r="D62" s="34"/>
      <c r="E62" s="34"/>
      <c r="F62" s="37">
        <f>ThirdFloor[[#This Row],[Unit Change]]+$B$33*2</f>
        <v>0</v>
      </c>
      <c r="G62" s="37" t="str">
        <f>_xlfn.IFNA(IF(ThirdFloor[[#This Row],[Custom Angular Direction]]="",INDEX(Direction[Degree],MATCH(ThirdFloor[[#This Row],[Direction]],Direction[Direction],0)),ThirdFloor[[#This Row],[Custom Angular Direction]]),"")</f>
        <v/>
      </c>
      <c r="H62" s="48">
        <f>IFERROR(IF(COS(RADIANS(ThirdFloor[[#This Row],[Angular Direction]]))*ThirdFloor[[#This Row],[Unit Change]]=0,H61,H61+COS(RADIANS(ThirdFloor[[#This Row],[Angular Direction]]))*ThirdFloor[[#This Row],[Unit Change]]),$H$35)</f>
        <v>0</v>
      </c>
      <c r="I62" s="48">
        <f>IFERROR(IF(SIN(RADIANS(ThirdFloor[[#This Row],[Angular Direction]]))*ThirdFloor[[#This Row],[Unit Change]]=0,I61,I61+SIN(RADIANS(ThirdFloor[[#This Row],[Angular Direction]]))*ThirdFloor[[#This Row],[Unit Change]]),$I$35)</f>
        <v>-15</v>
      </c>
      <c r="J62" s="48">
        <f>H61*ThirdFloor[[#This Row],[Y-Axis]]-I61*ThirdFloor[[#This Row],[X-Axis]]</f>
        <v>0</v>
      </c>
      <c r="L62" s="37">
        <v>27</v>
      </c>
      <c r="M62" s="34"/>
      <c r="N62" s="35"/>
      <c r="O62" s="55"/>
      <c r="P62" s="37">
        <f>OverlapThirdFloor[[#This Row],[Unit Change]]+$B$33*2</f>
        <v>0</v>
      </c>
      <c r="Q62" s="37" t="str">
        <f>_xlfn.IFNA(IF(OverlapThirdFloor[[#This Row],[Custom Angular Direction]]="",INDEX(Direction[Degree],MATCH(OverlapThirdFloor[[#This Row],[Direction]],Direction[Direction],0)),OverlapThirdFloor[[#This Row],[Custom Angular Direction]]),"")</f>
        <v/>
      </c>
      <c r="R62" s="48">
        <f>IFERROR(IF(COS(RADIANS(OverlapThirdFloor[[#This Row],[Angular Direction]]))*OverlapThirdFloor[[#This Row],[Unit Change]]=0,R61,R61+COS(RADIANS(OverlapThirdFloor[[#This Row],[Angular Direction]]))*OverlapThirdFloor[[#This Row],[Unit Change]]),$R$35)</f>
        <v>0</v>
      </c>
      <c r="S62" s="48">
        <f>IFERROR(IF(SIN(RADIANS(OverlapThirdFloor[[#This Row],[Angular Direction]]))*OverlapThirdFloor[[#This Row],[Unit Change]]=0,S61,S61+SIN(RADIANS(OverlapThirdFloor[[#This Row],[Angular Direction]]))*OverlapThirdFloor[[#This Row],[Unit Change]]),$S$35)</f>
        <v>-15</v>
      </c>
      <c r="T62" s="48">
        <f>R61*OverlapThirdFloor[[#This Row],[Y-Axis]]-S61*OverlapThirdFloor[[#This Row],[X-Axis]]</f>
        <v>0</v>
      </c>
    </row>
    <row r="63" spans="1:20" x14ac:dyDescent="0.45">
      <c r="A63" s="37">
        <v>28</v>
      </c>
      <c r="B63" s="34"/>
      <c r="C63" s="35"/>
      <c r="D63" s="34"/>
      <c r="E63" s="34"/>
      <c r="F63" s="37">
        <f>ThirdFloor[[#This Row],[Unit Change]]+$B$33*2</f>
        <v>0</v>
      </c>
      <c r="G63" s="37" t="str">
        <f>_xlfn.IFNA(IF(ThirdFloor[[#This Row],[Custom Angular Direction]]="",INDEX(Direction[Degree],MATCH(ThirdFloor[[#This Row],[Direction]],Direction[Direction],0)),ThirdFloor[[#This Row],[Custom Angular Direction]]),"")</f>
        <v/>
      </c>
      <c r="H63" s="48">
        <f>IFERROR(IF(COS(RADIANS(ThirdFloor[[#This Row],[Angular Direction]]))*ThirdFloor[[#This Row],[Unit Change]]=0,H62,H62+COS(RADIANS(ThirdFloor[[#This Row],[Angular Direction]]))*ThirdFloor[[#This Row],[Unit Change]]),$H$35)</f>
        <v>0</v>
      </c>
      <c r="I63" s="48">
        <f>IFERROR(IF(SIN(RADIANS(ThirdFloor[[#This Row],[Angular Direction]]))*ThirdFloor[[#This Row],[Unit Change]]=0,I62,I62+SIN(RADIANS(ThirdFloor[[#This Row],[Angular Direction]]))*ThirdFloor[[#This Row],[Unit Change]]),$I$35)</f>
        <v>-15</v>
      </c>
      <c r="J63" s="48">
        <f>H62*ThirdFloor[[#This Row],[Y-Axis]]-I62*ThirdFloor[[#This Row],[X-Axis]]</f>
        <v>0</v>
      </c>
      <c r="L63" s="37">
        <v>28</v>
      </c>
      <c r="M63" s="34"/>
      <c r="N63" s="35"/>
      <c r="O63" s="55"/>
      <c r="P63" s="37">
        <f>OverlapThirdFloor[[#This Row],[Unit Change]]+$B$33*2</f>
        <v>0</v>
      </c>
      <c r="Q63" s="37" t="str">
        <f>_xlfn.IFNA(IF(OverlapThirdFloor[[#This Row],[Custom Angular Direction]]="",INDEX(Direction[Degree],MATCH(OverlapThirdFloor[[#This Row],[Direction]],Direction[Direction],0)),OverlapThirdFloor[[#This Row],[Custom Angular Direction]]),"")</f>
        <v/>
      </c>
      <c r="R63" s="48">
        <f>IFERROR(IF(COS(RADIANS(OverlapThirdFloor[[#This Row],[Angular Direction]]))*OverlapThirdFloor[[#This Row],[Unit Change]]=0,R62,R62+COS(RADIANS(OverlapThirdFloor[[#This Row],[Angular Direction]]))*OverlapThirdFloor[[#This Row],[Unit Change]]),$R$35)</f>
        <v>0</v>
      </c>
      <c r="S63" s="48">
        <f>IFERROR(IF(SIN(RADIANS(OverlapThirdFloor[[#This Row],[Angular Direction]]))*OverlapThirdFloor[[#This Row],[Unit Change]]=0,S62,S62+SIN(RADIANS(OverlapThirdFloor[[#This Row],[Angular Direction]]))*OverlapThirdFloor[[#This Row],[Unit Change]]),$S$35)</f>
        <v>-15</v>
      </c>
      <c r="T63" s="48">
        <f>R62*OverlapThirdFloor[[#This Row],[Y-Axis]]-S62*OverlapThirdFloor[[#This Row],[X-Axis]]</f>
        <v>0</v>
      </c>
    </row>
    <row r="64" spans="1:20" x14ac:dyDescent="0.45">
      <c r="A64" s="37">
        <v>29</v>
      </c>
      <c r="B64" s="34"/>
      <c r="C64" s="35"/>
      <c r="D64" s="34"/>
      <c r="E64" s="34"/>
      <c r="F64" s="37">
        <f>ThirdFloor[[#This Row],[Unit Change]]+$B$33*2</f>
        <v>0</v>
      </c>
      <c r="G64" s="37" t="str">
        <f>_xlfn.IFNA(IF(ThirdFloor[[#This Row],[Custom Angular Direction]]="",INDEX(Direction[Degree],MATCH(ThirdFloor[[#This Row],[Direction]],Direction[Direction],0)),ThirdFloor[[#This Row],[Custom Angular Direction]]),"")</f>
        <v/>
      </c>
      <c r="H64" s="48">
        <f>IFERROR(IF(COS(RADIANS(ThirdFloor[[#This Row],[Angular Direction]]))*ThirdFloor[[#This Row],[Unit Change]]=0,H63,H63+COS(RADIANS(ThirdFloor[[#This Row],[Angular Direction]]))*ThirdFloor[[#This Row],[Unit Change]]),$H$35)</f>
        <v>0</v>
      </c>
      <c r="I64" s="48">
        <f>IFERROR(IF(SIN(RADIANS(ThirdFloor[[#This Row],[Angular Direction]]))*ThirdFloor[[#This Row],[Unit Change]]=0,I63,I63+SIN(RADIANS(ThirdFloor[[#This Row],[Angular Direction]]))*ThirdFloor[[#This Row],[Unit Change]]),$I$35)</f>
        <v>-15</v>
      </c>
      <c r="J64" s="48">
        <f>H63*ThirdFloor[[#This Row],[Y-Axis]]-I63*ThirdFloor[[#This Row],[X-Axis]]</f>
        <v>0</v>
      </c>
      <c r="L64" s="37">
        <v>29</v>
      </c>
      <c r="M64" s="34"/>
      <c r="N64" s="35"/>
      <c r="O64" s="55"/>
      <c r="P64" s="37">
        <f>OverlapThirdFloor[[#This Row],[Unit Change]]+$B$33*2</f>
        <v>0</v>
      </c>
      <c r="Q64" s="37" t="str">
        <f>_xlfn.IFNA(IF(OverlapThirdFloor[[#This Row],[Custom Angular Direction]]="",INDEX(Direction[Degree],MATCH(OverlapThirdFloor[[#This Row],[Direction]],Direction[Direction],0)),OverlapThirdFloor[[#This Row],[Custom Angular Direction]]),"")</f>
        <v/>
      </c>
      <c r="R64" s="48">
        <f>IFERROR(IF(COS(RADIANS(OverlapThirdFloor[[#This Row],[Angular Direction]]))*OverlapThirdFloor[[#This Row],[Unit Change]]=0,R63,R63+COS(RADIANS(OverlapThirdFloor[[#This Row],[Angular Direction]]))*OverlapThirdFloor[[#This Row],[Unit Change]]),$R$35)</f>
        <v>0</v>
      </c>
      <c r="S64" s="48">
        <f>IFERROR(IF(SIN(RADIANS(OverlapThirdFloor[[#This Row],[Angular Direction]]))*OverlapThirdFloor[[#This Row],[Unit Change]]=0,S63,S63+SIN(RADIANS(OverlapThirdFloor[[#This Row],[Angular Direction]]))*OverlapThirdFloor[[#This Row],[Unit Change]]),$S$35)</f>
        <v>-15</v>
      </c>
      <c r="T64" s="48">
        <f>R63*OverlapThirdFloor[[#This Row],[Y-Axis]]-S63*OverlapThirdFloor[[#This Row],[X-Axis]]</f>
        <v>0</v>
      </c>
    </row>
    <row r="65" spans="1:20" x14ac:dyDescent="0.45">
      <c r="A65" s="37">
        <v>30</v>
      </c>
      <c r="B65" s="34"/>
      <c r="C65" s="35"/>
      <c r="D65" s="34"/>
      <c r="E65" s="34"/>
      <c r="F65" s="37">
        <f>ThirdFloor[[#This Row],[Unit Change]]+$B$33*2</f>
        <v>0</v>
      </c>
      <c r="G65" s="37" t="str">
        <f>_xlfn.IFNA(IF(ThirdFloor[[#This Row],[Custom Angular Direction]]="",INDEX(Direction[Degree],MATCH(ThirdFloor[[#This Row],[Direction]],Direction[Direction],0)),ThirdFloor[[#This Row],[Custom Angular Direction]]),"")</f>
        <v/>
      </c>
      <c r="H65" s="48">
        <f>IFERROR(IF(COS(RADIANS(ThirdFloor[[#This Row],[Angular Direction]]))*ThirdFloor[[#This Row],[Unit Change]]=0,H64,H64+COS(RADIANS(ThirdFloor[[#This Row],[Angular Direction]]))*ThirdFloor[[#This Row],[Unit Change]]),$H$35)</f>
        <v>0</v>
      </c>
      <c r="I65" s="48">
        <f>IFERROR(IF(SIN(RADIANS(ThirdFloor[[#This Row],[Angular Direction]]))*ThirdFloor[[#This Row],[Unit Change]]=0,I64,I64+SIN(RADIANS(ThirdFloor[[#This Row],[Angular Direction]]))*ThirdFloor[[#This Row],[Unit Change]]),$I$35)</f>
        <v>-15</v>
      </c>
      <c r="J65" s="48">
        <f>H64*ThirdFloor[[#This Row],[Y-Axis]]-I64*ThirdFloor[[#This Row],[X-Axis]]</f>
        <v>0</v>
      </c>
      <c r="L65" s="37">
        <v>30</v>
      </c>
      <c r="M65" s="34"/>
      <c r="N65" s="35"/>
      <c r="O65" s="55"/>
      <c r="P65" s="37">
        <f>OverlapThirdFloor[[#This Row],[Unit Change]]+$B$33*2</f>
        <v>0</v>
      </c>
      <c r="Q65" s="37" t="str">
        <f>_xlfn.IFNA(IF(OverlapThirdFloor[[#This Row],[Custom Angular Direction]]="",INDEX(Direction[Degree],MATCH(OverlapThirdFloor[[#This Row],[Direction]],Direction[Direction],0)),OverlapThirdFloor[[#This Row],[Custom Angular Direction]]),"")</f>
        <v/>
      </c>
      <c r="R65" s="48">
        <f>IFERROR(IF(COS(RADIANS(OverlapThirdFloor[[#This Row],[Angular Direction]]))*OverlapThirdFloor[[#This Row],[Unit Change]]=0,R64,R64+COS(RADIANS(OverlapThirdFloor[[#This Row],[Angular Direction]]))*OverlapThirdFloor[[#This Row],[Unit Change]]),$R$35)</f>
        <v>0</v>
      </c>
      <c r="S65" s="48">
        <f>IFERROR(IF(SIN(RADIANS(OverlapThirdFloor[[#This Row],[Angular Direction]]))*OverlapThirdFloor[[#This Row],[Unit Change]]=0,S64,S64+SIN(RADIANS(OverlapThirdFloor[[#This Row],[Angular Direction]]))*OverlapThirdFloor[[#This Row],[Unit Change]]),$S$35)</f>
        <v>-15</v>
      </c>
      <c r="T65" s="48">
        <f>R64*OverlapThirdFloor[[#This Row],[Y-Axis]]-S64*OverlapThirdFloor[[#This Row],[X-Axis]]</f>
        <v>0</v>
      </c>
    </row>
    <row r="66" spans="1:20" x14ac:dyDescent="0.45">
      <c r="A66" s="37">
        <v>31</v>
      </c>
      <c r="B66" s="34"/>
      <c r="C66" s="35"/>
      <c r="D66" s="34"/>
      <c r="E66" s="34"/>
      <c r="F66" s="37">
        <f>ThirdFloor[[#This Row],[Unit Change]]+$B$33*2</f>
        <v>0</v>
      </c>
      <c r="G66" s="37" t="str">
        <f>_xlfn.IFNA(IF(ThirdFloor[[#This Row],[Custom Angular Direction]]="",INDEX(Direction[Degree],MATCH(ThirdFloor[[#This Row],[Direction]],Direction[Direction],0)),ThirdFloor[[#This Row],[Custom Angular Direction]]),"")</f>
        <v/>
      </c>
      <c r="H66" s="48">
        <f>IFERROR(IF(COS(RADIANS(ThirdFloor[[#This Row],[Angular Direction]]))*ThirdFloor[[#This Row],[Unit Change]]=0,H65,H65+COS(RADIANS(ThirdFloor[[#This Row],[Angular Direction]]))*ThirdFloor[[#This Row],[Unit Change]]),$H$35)</f>
        <v>0</v>
      </c>
      <c r="I66" s="48">
        <f>IFERROR(IF(SIN(RADIANS(ThirdFloor[[#This Row],[Angular Direction]]))*ThirdFloor[[#This Row],[Unit Change]]=0,I65,I65+SIN(RADIANS(ThirdFloor[[#This Row],[Angular Direction]]))*ThirdFloor[[#This Row],[Unit Change]]),$I$35)</f>
        <v>-15</v>
      </c>
      <c r="J66" s="48">
        <f>H65*ThirdFloor[[#This Row],[Y-Axis]]-I65*ThirdFloor[[#This Row],[X-Axis]]</f>
        <v>0</v>
      </c>
      <c r="L66" s="37">
        <v>31</v>
      </c>
      <c r="M66" s="34"/>
      <c r="N66" s="35"/>
      <c r="O66" s="55"/>
      <c r="P66" s="37">
        <f>OverlapThirdFloor[[#This Row],[Unit Change]]+$B$33*2</f>
        <v>0</v>
      </c>
      <c r="Q66" s="37" t="str">
        <f>_xlfn.IFNA(IF(OverlapThirdFloor[[#This Row],[Custom Angular Direction]]="",INDEX(Direction[Degree],MATCH(OverlapThirdFloor[[#This Row],[Direction]],Direction[Direction],0)),OverlapThirdFloor[[#This Row],[Custom Angular Direction]]),"")</f>
        <v/>
      </c>
      <c r="R66" s="48">
        <f>IFERROR(IF(COS(RADIANS(OverlapThirdFloor[[#This Row],[Angular Direction]]))*OverlapThirdFloor[[#This Row],[Unit Change]]=0,R65,R65+COS(RADIANS(OverlapThirdFloor[[#This Row],[Angular Direction]]))*OverlapThirdFloor[[#This Row],[Unit Change]]),$R$35)</f>
        <v>0</v>
      </c>
      <c r="S66" s="48">
        <f>IFERROR(IF(SIN(RADIANS(OverlapThirdFloor[[#This Row],[Angular Direction]]))*OverlapThirdFloor[[#This Row],[Unit Change]]=0,S65,S65+SIN(RADIANS(OverlapThirdFloor[[#This Row],[Angular Direction]]))*OverlapThirdFloor[[#This Row],[Unit Change]]),$S$35)</f>
        <v>-15</v>
      </c>
      <c r="T66" s="48">
        <f>R65*OverlapThirdFloor[[#This Row],[Y-Axis]]-S65*OverlapThirdFloor[[#This Row],[X-Axis]]</f>
        <v>0</v>
      </c>
    </row>
    <row r="67" spans="1:20" x14ac:dyDescent="0.45">
      <c r="G67" s="48"/>
      <c r="H67" s="48"/>
      <c r="I67" s="48"/>
      <c r="J67" s="48"/>
    </row>
    <row r="68" spans="1:20" x14ac:dyDescent="0.45">
      <c r="G68" s="48"/>
      <c r="H68" s="48"/>
      <c r="I68" s="48"/>
      <c r="J68" s="48"/>
    </row>
    <row r="69" spans="1:20" x14ac:dyDescent="0.45">
      <c r="G69" s="48"/>
      <c r="H69" s="48"/>
      <c r="I69" s="48"/>
      <c r="J69" s="48"/>
    </row>
    <row r="70" spans="1:20" x14ac:dyDescent="0.45">
      <c r="G70" s="48"/>
      <c r="H70" s="48"/>
      <c r="I70" s="48"/>
      <c r="J70" s="48"/>
    </row>
    <row r="71" spans="1:20" x14ac:dyDescent="0.45">
      <c r="G71" s="48"/>
      <c r="H71" s="48"/>
      <c r="I71" s="48"/>
      <c r="J71" s="48"/>
    </row>
    <row r="72" spans="1:20" x14ac:dyDescent="0.45">
      <c r="G72" s="48"/>
      <c r="H72" s="48"/>
      <c r="I72" s="48"/>
      <c r="J72" s="48"/>
    </row>
    <row r="73" spans="1:20" x14ac:dyDescent="0.45">
      <c r="G73" s="48"/>
      <c r="H73" s="48"/>
      <c r="I73" s="48"/>
      <c r="J73" s="48"/>
    </row>
    <row r="74" spans="1:20" x14ac:dyDescent="0.45">
      <c r="G74" s="48"/>
      <c r="H74" s="48"/>
      <c r="I74" s="48"/>
      <c r="J74" s="48"/>
    </row>
    <row r="75" spans="1:20" x14ac:dyDescent="0.45">
      <c r="G75" s="48"/>
      <c r="H75" s="48"/>
      <c r="I75" s="48"/>
      <c r="J75" s="48"/>
    </row>
    <row r="76" spans="1:20" x14ac:dyDescent="0.45">
      <c r="G76" s="48"/>
      <c r="H76" s="48"/>
      <c r="I76" s="48"/>
      <c r="J76" s="48"/>
    </row>
    <row r="77" spans="1:20" x14ac:dyDescent="0.45">
      <c r="G77" s="48"/>
      <c r="H77" s="48"/>
      <c r="I77" s="48"/>
      <c r="J77" s="48"/>
    </row>
    <row r="78" spans="1:20" x14ac:dyDescent="0.45">
      <c r="G78" s="48"/>
      <c r="H78" s="48"/>
      <c r="I78" s="48"/>
      <c r="J78" s="48"/>
    </row>
    <row r="79" spans="1:20" x14ac:dyDescent="0.45">
      <c r="G79" s="48"/>
      <c r="H79" s="48"/>
      <c r="I79" s="48"/>
      <c r="J79" s="48"/>
    </row>
    <row r="80" spans="1:20" x14ac:dyDescent="0.45">
      <c r="G80" s="48"/>
      <c r="H80" s="48"/>
      <c r="I80" s="48"/>
      <c r="J80" s="48"/>
    </row>
    <row r="81" spans="7:10" x14ac:dyDescent="0.45">
      <c r="G81" s="48"/>
      <c r="H81" s="48"/>
      <c r="I81" s="48"/>
      <c r="J81" s="48"/>
    </row>
    <row r="82" spans="7:10" x14ac:dyDescent="0.45">
      <c r="G82" s="48"/>
      <c r="H82" s="48"/>
      <c r="I82" s="48"/>
      <c r="J82" s="48"/>
    </row>
    <row r="83" spans="7:10" x14ac:dyDescent="0.45">
      <c r="G83" s="48"/>
      <c r="H83" s="48"/>
      <c r="I83" s="48"/>
      <c r="J83" s="48"/>
    </row>
    <row r="84" spans="7:10" x14ac:dyDescent="0.45">
      <c r="G84" s="48"/>
      <c r="H84" s="48"/>
      <c r="I84" s="48"/>
      <c r="J84" s="48"/>
    </row>
    <row r="85" spans="7:10" x14ac:dyDescent="0.45">
      <c r="G85" s="48"/>
      <c r="H85" s="48"/>
      <c r="I85" s="48"/>
      <c r="J85" s="48"/>
    </row>
    <row r="86" spans="7:10" x14ac:dyDescent="0.45">
      <c r="G86" s="48"/>
      <c r="H86" s="48"/>
      <c r="I86" s="48"/>
      <c r="J86" s="48"/>
    </row>
    <row r="87" spans="7:10" x14ac:dyDescent="0.45">
      <c r="G87" s="48"/>
      <c r="H87" s="48"/>
      <c r="I87" s="48"/>
      <c r="J87" s="48"/>
    </row>
    <row r="88" spans="7:10" x14ac:dyDescent="0.45">
      <c r="G88" s="48"/>
      <c r="H88" s="48"/>
      <c r="I88" s="48"/>
      <c r="J88" s="48"/>
    </row>
    <row r="89" spans="7:10" x14ac:dyDescent="0.45">
      <c r="G89" s="48"/>
      <c r="H89" s="48"/>
      <c r="I89" s="48"/>
      <c r="J89" s="48"/>
    </row>
    <row r="90" spans="7:10" x14ac:dyDescent="0.45">
      <c r="G90" s="48"/>
      <c r="H90" s="48"/>
      <c r="I90" s="48"/>
      <c r="J90" s="48"/>
    </row>
    <row r="91" spans="7:10" x14ac:dyDescent="0.45">
      <c r="G91" s="48"/>
      <c r="H91" s="48"/>
      <c r="I91" s="48"/>
      <c r="J91" s="48"/>
    </row>
    <row r="92" spans="7:10" x14ac:dyDescent="0.45">
      <c r="G92" s="48"/>
      <c r="H92" s="48"/>
      <c r="I92" s="48"/>
      <c r="J92" s="48"/>
    </row>
    <row r="93" spans="7:10" x14ac:dyDescent="0.45">
      <c r="G93" s="48"/>
      <c r="H93" s="48"/>
      <c r="I93" s="48"/>
      <c r="J93" s="48"/>
    </row>
    <row r="94" spans="7:10" x14ac:dyDescent="0.45">
      <c r="G94" s="48"/>
      <c r="H94" s="48"/>
      <c r="I94" s="48"/>
      <c r="J94" s="48"/>
    </row>
    <row r="95" spans="7:10" x14ac:dyDescent="0.45">
      <c r="G95" s="48"/>
      <c r="H95" s="48"/>
      <c r="I95" s="48"/>
      <c r="J95" s="48"/>
    </row>
    <row r="96" spans="7:10" x14ac:dyDescent="0.45">
      <c r="G96" s="48"/>
      <c r="H96" s="48"/>
      <c r="I96" s="48"/>
      <c r="J96" s="48"/>
    </row>
    <row r="97" spans="7:10" x14ac:dyDescent="0.45">
      <c r="G97" s="48"/>
      <c r="H97" s="48"/>
      <c r="I97" s="48"/>
      <c r="J97" s="48"/>
    </row>
    <row r="98" spans="7:10" x14ac:dyDescent="0.45">
      <c r="G98" s="48"/>
      <c r="H98" s="48"/>
      <c r="I98" s="48"/>
      <c r="J98" s="48"/>
    </row>
    <row r="99" spans="7:10" x14ac:dyDescent="0.45">
      <c r="G99" s="48"/>
      <c r="H99" s="48"/>
      <c r="I99" s="48"/>
      <c r="J99" s="48"/>
    </row>
    <row r="100" spans="7:10" x14ac:dyDescent="0.45">
      <c r="G100" s="48"/>
      <c r="H100" s="48"/>
      <c r="I100" s="48"/>
      <c r="J100" s="48"/>
    </row>
    <row r="101" spans="7:10" x14ac:dyDescent="0.45">
      <c r="G101" s="48"/>
      <c r="H101" s="48"/>
      <c r="I101" s="48"/>
      <c r="J101" s="48"/>
    </row>
  </sheetData>
  <mergeCells count="3">
    <mergeCell ref="A9:C9"/>
    <mergeCell ref="L32:T32"/>
    <mergeCell ref="A32:J32"/>
  </mergeCells>
  <dataValidations count="2">
    <dataValidation type="list" allowBlank="1" showInputMessage="1" showErrorMessage="1" sqref="B5:B6" xr:uid="{9FA6F355-C4AD-4865-8DD5-8F7D72748DC6}">
      <formula1>"Yes,No"</formula1>
    </dataValidation>
    <dataValidation type="list" allowBlank="1" showInputMessage="1" showErrorMessage="1" sqref="E36:E66" xr:uid="{4C243C1D-FC60-4F79-ABB5-751D570A9A82}">
      <formula1>$A$15:$A$20</formula1>
    </dataValidation>
  </dataValidations>
  <pageMargins left="0.7" right="0.7" top="0.75" bottom="0.75" header="0.3" footer="0.3"/>
  <pageSetup orientation="portrait" horizontalDpi="1200" verticalDpi="1200" r:id="rId1"/>
  <drawing r:id="rId2"/>
  <tableParts count="4">
    <tablePart r:id="rId3"/>
    <tablePart r:id="rId4"/>
    <tablePart r:id="rId5"/>
    <tablePart r:id="rId6"/>
  </tableParts>
  <extLst>
    <ext xmlns:x14="http://schemas.microsoft.com/office/spreadsheetml/2009/9/main" uri="{CCE6A557-97BC-4b89-ADB6-D9C93CAAB3DF}">
      <x14:dataValidations xmlns:xm="http://schemas.microsoft.com/office/excel/2006/main" count="2">
        <x14:dataValidation type="list" allowBlank="1" showInputMessage="1" showErrorMessage="1" xr:uid="{CCB41289-BADE-4993-B2E6-7001063F66D7}">
          <x14:formula1>
            <xm:f>Reference!$A$2:$A$9</xm:f>
          </x14:formula1>
          <xm:sqref>D67:D101 N36:N66</xm:sqref>
        </x14:dataValidation>
        <x14:dataValidation type="list" allowBlank="1" showInputMessage="1" showErrorMessage="1" xr:uid="{B65A8C73-EC8B-459B-B785-B10CBA8C299B}">
          <x14:formula1>
            <xm:f>Reference!$A$2:$A$10</xm:f>
          </x14:formula1>
          <xm:sqref>C36:C66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8523C-9FA3-4AD0-8069-18F8F10E0EA3}">
  <sheetPr codeName="Sheet6"/>
  <dimension ref="A1:T101"/>
  <sheetViews>
    <sheetView topLeftCell="A16" workbookViewId="0">
      <selection activeCell="B35" sqref="B35:G35"/>
    </sheetView>
  </sheetViews>
  <sheetFormatPr defaultRowHeight="14.25" x14ac:dyDescent="0.45"/>
  <cols>
    <col min="1" max="1" width="30.86328125" style="37" bestFit="1" customWidth="1"/>
    <col min="2" max="2" width="13.53125" style="37" bestFit="1" customWidth="1"/>
    <col min="3" max="3" width="13.53125" style="37" customWidth="1"/>
    <col min="4" max="4" width="12.73046875" style="37" customWidth="1"/>
    <col min="5" max="5" width="16.86328125" style="37" bestFit="1" customWidth="1"/>
    <col min="6" max="6" width="24.59765625" style="37" bestFit="1" customWidth="1"/>
    <col min="7" max="8" width="10.59765625" style="37" customWidth="1"/>
    <col min="9" max="10" width="11.265625" style="37" customWidth="1"/>
    <col min="11" max="11" width="7.53125" style="37" bestFit="1" customWidth="1"/>
    <col min="12" max="12" width="13.265625" style="37" bestFit="1" customWidth="1"/>
    <col min="13" max="13" width="15" style="37" bestFit="1" customWidth="1"/>
    <col min="14" max="14" width="12.73046875" style="37" bestFit="1" customWidth="1"/>
    <col min="15" max="15" width="17.6640625" style="37" bestFit="1" customWidth="1"/>
    <col min="16" max="16" width="24.59765625" style="37" bestFit="1" customWidth="1"/>
    <col min="17" max="18" width="8.33203125" style="37" bestFit="1" customWidth="1"/>
    <col min="19" max="19" width="10.86328125" style="37" bestFit="1" customWidth="1"/>
    <col min="20" max="16384" width="9.06640625" style="37"/>
  </cols>
  <sheetData>
    <row r="1" spans="1:3" ht="14.65" thickBot="1" x14ac:dyDescent="0.5"/>
    <row r="2" spans="1:3" x14ac:dyDescent="0.45">
      <c r="A2" s="38" t="s">
        <v>33</v>
      </c>
      <c r="B2" s="39">
        <f>ABS(SUM(FourthFloor[Area sum])/2)-SUM(Table1927[Areas to subtract])</f>
        <v>0</v>
      </c>
    </row>
    <row r="3" spans="1:3" x14ac:dyDescent="0.45">
      <c r="A3" s="40" t="s">
        <v>27</v>
      </c>
      <c r="B3" s="41">
        <f>B2+SUM(Table1927[Areas to subtract])</f>
        <v>0</v>
      </c>
    </row>
    <row r="4" spans="1:3" x14ac:dyDescent="0.45">
      <c r="A4" s="40" t="s">
        <v>28</v>
      </c>
      <c r="B4" s="41">
        <f>IF(AND('4th Floor'!B6="Yes",OR('4th Floor'!B5="",'4th Floor'!B5="No")),'3rd Floor'!B2,IF(AND('4th Floor'!B5="Yes",OR('4th Floor'!B6="",'4th Floor'!B6="No")),B2,IF(AND(B5="Yes",B6="Yes"),"Overlap error",ABS(SUM(OverlapThirdFloor[Area sum])/2))))</f>
        <v>0</v>
      </c>
    </row>
    <row r="5" spans="1:3" x14ac:dyDescent="0.45">
      <c r="A5" s="40" t="s">
        <v>188</v>
      </c>
      <c r="B5" s="49"/>
    </row>
    <row r="6" spans="1:3" x14ac:dyDescent="0.45">
      <c r="A6" s="40" t="s">
        <v>189</v>
      </c>
      <c r="B6" s="50"/>
    </row>
    <row r="7" spans="1:3" ht="14.65" thickBot="1" x14ac:dyDescent="0.5">
      <c r="A7" s="42" t="s">
        <v>45</v>
      </c>
      <c r="B7" s="43">
        <f>B2-B4</f>
        <v>0</v>
      </c>
    </row>
    <row r="8" spans="1:3" ht="14.65" thickBot="1" x14ac:dyDescent="0.5"/>
    <row r="9" spans="1:3" x14ac:dyDescent="0.45">
      <c r="A9" s="87" t="s">
        <v>39</v>
      </c>
      <c r="B9" s="88"/>
      <c r="C9" s="89"/>
    </row>
    <row r="10" spans="1:3" x14ac:dyDescent="0.45">
      <c r="A10" s="40"/>
      <c r="B10" s="44" t="s">
        <v>200</v>
      </c>
      <c r="C10" s="41" t="s">
        <v>201</v>
      </c>
    </row>
    <row r="11" spans="1:3" x14ac:dyDescent="0.45">
      <c r="A11" s="40" t="str">
        <f>A32</f>
        <v>Fourth Floor</v>
      </c>
      <c r="B11" s="36"/>
      <c r="C11" s="49"/>
    </row>
    <row r="12" spans="1:3" ht="14.65" thickBot="1" x14ac:dyDescent="0.5">
      <c r="A12" s="42" t="str">
        <f>L32</f>
        <v>Fourth Floor rim joist</v>
      </c>
      <c r="B12" s="51"/>
      <c r="C12" s="52"/>
    </row>
    <row r="14" spans="1:3" x14ac:dyDescent="0.45">
      <c r="A14" s="37" t="s">
        <v>130</v>
      </c>
      <c r="B14" s="37" t="s">
        <v>155</v>
      </c>
    </row>
    <row r="15" spans="1:3" x14ac:dyDescent="0.45">
      <c r="A15" s="37" t="s">
        <v>152</v>
      </c>
      <c r="B15" s="37">
        <f>SUM(FourthFloor[Offset Change])</f>
        <v>0</v>
      </c>
    </row>
    <row r="16" spans="1:3" x14ac:dyDescent="0.45">
      <c r="A16" s="37" t="s">
        <v>149</v>
      </c>
      <c r="B16" s="37">
        <f>SUMIF(FourthFloor[Wall Type],A16,FourthFloor[Offset Change])</f>
        <v>0</v>
      </c>
    </row>
    <row r="17" spans="1:20" x14ac:dyDescent="0.45">
      <c r="A17" s="37" t="s">
        <v>168</v>
      </c>
      <c r="B17" s="37">
        <f>SUMIF(FourthFloor[Wall Type],A17,FourthFloor[Offset Change])</f>
        <v>0</v>
      </c>
    </row>
    <row r="18" spans="1:20" x14ac:dyDescent="0.45">
      <c r="A18" s="37" t="s">
        <v>169</v>
      </c>
      <c r="B18" s="37">
        <f>SUMIF(FourthFloor[Wall Type],A18,FourthFloor[Offset Change])</f>
        <v>0</v>
      </c>
    </row>
    <row r="19" spans="1:20" x14ac:dyDescent="0.45">
      <c r="A19" s="37" t="s">
        <v>150</v>
      </c>
      <c r="B19" s="37">
        <f>SUMIF(FourthFloor[Wall Type],A19,FourthFloor[Offset Change])</f>
        <v>0</v>
      </c>
    </row>
    <row r="20" spans="1:20" x14ac:dyDescent="0.45">
      <c r="A20" s="37" t="s">
        <v>147</v>
      </c>
      <c r="B20" s="37">
        <f>SUMIF(FourthFloor[Wall Type],A20,FourthFloor[Offset Change])</f>
        <v>0</v>
      </c>
    </row>
    <row r="22" spans="1:20" x14ac:dyDescent="0.45">
      <c r="A22" s="37" t="s">
        <v>184</v>
      </c>
    </row>
    <row r="23" spans="1:20" x14ac:dyDescent="0.45">
      <c r="A23" s="36"/>
    </row>
    <row r="24" spans="1:20" x14ac:dyDescent="0.45">
      <c r="A24" s="36"/>
    </row>
    <row r="25" spans="1:20" x14ac:dyDescent="0.45">
      <c r="A25" s="36"/>
    </row>
    <row r="26" spans="1:20" x14ac:dyDescent="0.45">
      <c r="A26" s="57"/>
    </row>
    <row r="32" spans="1:20" ht="18" x14ac:dyDescent="0.55000000000000004">
      <c r="A32" s="90" t="s">
        <v>44</v>
      </c>
      <c r="B32" s="90"/>
      <c r="C32" s="90"/>
      <c r="D32" s="90"/>
      <c r="E32" s="90"/>
      <c r="F32" s="90"/>
      <c r="G32" s="90"/>
      <c r="H32" s="90"/>
      <c r="I32" s="90"/>
      <c r="J32" s="90"/>
      <c r="L32" s="90" t="s">
        <v>198</v>
      </c>
      <c r="M32" s="90"/>
      <c r="N32" s="90"/>
      <c r="O32" s="90"/>
      <c r="P32" s="90"/>
      <c r="Q32" s="90"/>
      <c r="R32" s="90"/>
      <c r="S32" s="90"/>
      <c r="T32" s="90"/>
    </row>
    <row r="33" spans="1:20" x14ac:dyDescent="0.45">
      <c r="A33" s="45" t="s">
        <v>12</v>
      </c>
      <c r="B33" s="53">
        <v>0</v>
      </c>
      <c r="C33" s="46"/>
      <c r="D33" s="46"/>
      <c r="E33" s="46"/>
      <c r="F33" s="46"/>
      <c r="G33" s="46" t="s">
        <v>10</v>
      </c>
      <c r="H33" s="46"/>
      <c r="I33" s="46"/>
      <c r="J33" s="47"/>
      <c r="L33" s="45" t="s">
        <v>12</v>
      </c>
      <c r="M33" s="53">
        <v>0</v>
      </c>
      <c r="N33" s="46"/>
      <c r="O33" s="46"/>
      <c r="P33" s="46"/>
      <c r="Q33" s="46"/>
      <c r="R33" s="46" t="s">
        <v>10</v>
      </c>
      <c r="S33" s="46"/>
      <c r="T33" s="46"/>
    </row>
    <row r="34" spans="1:20" x14ac:dyDescent="0.45">
      <c r="A34" s="37" t="s">
        <v>14</v>
      </c>
      <c r="B34" s="37" t="s">
        <v>11</v>
      </c>
      <c r="C34" s="37" t="s">
        <v>9</v>
      </c>
      <c r="D34" s="37" t="s">
        <v>30</v>
      </c>
      <c r="E34" s="37" t="s">
        <v>151</v>
      </c>
      <c r="F34" s="37" t="s">
        <v>16</v>
      </c>
      <c r="G34" s="37" t="s">
        <v>29</v>
      </c>
      <c r="H34" s="37" t="s">
        <v>31</v>
      </c>
      <c r="I34" s="37" t="s">
        <v>32</v>
      </c>
      <c r="J34" s="37" t="s">
        <v>37</v>
      </c>
      <c r="L34" s="37" t="s">
        <v>14</v>
      </c>
      <c r="M34" s="37" t="s">
        <v>11</v>
      </c>
      <c r="N34" s="37" t="s">
        <v>9</v>
      </c>
      <c r="O34" s="37" t="s">
        <v>30</v>
      </c>
      <c r="P34" s="37" t="s">
        <v>16</v>
      </c>
      <c r="Q34" s="37" t="s">
        <v>29</v>
      </c>
      <c r="R34" s="37" t="s">
        <v>31</v>
      </c>
      <c r="S34" s="37" t="s">
        <v>32</v>
      </c>
      <c r="T34" s="37" t="s">
        <v>37</v>
      </c>
    </row>
    <row r="35" spans="1:20" x14ac:dyDescent="0.45">
      <c r="A35" s="37">
        <v>0</v>
      </c>
      <c r="B35" s="56" t="s">
        <v>13</v>
      </c>
      <c r="C35" s="56" t="s">
        <v>13</v>
      </c>
      <c r="D35" s="56" t="s">
        <v>13</v>
      </c>
      <c r="E35" s="56" t="s">
        <v>13</v>
      </c>
      <c r="F35" s="56" t="s">
        <v>13</v>
      </c>
      <c r="G35" s="56" t="s">
        <v>13</v>
      </c>
      <c r="H35" s="48">
        <f>$B$11</f>
        <v>0</v>
      </c>
      <c r="I35" s="48">
        <f>$C$11</f>
        <v>0</v>
      </c>
      <c r="J35" s="37">
        <v>0</v>
      </c>
      <c r="L35" s="37">
        <v>0</v>
      </c>
      <c r="M35" s="54"/>
      <c r="N35" s="54"/>
      <c r="O35" s="54"/>
      <c r="P35" s="54" t="s">
        <v>13</v>
      </c>
      <c r="Q35" s="54" t="s">
        <v>13</v>
      </c>
      <c r="R35" s="48">
        <f>B12</f>
        <v>0</v>
      </c>
      <c r="S35" s="48">
        <f>C12</f>
        <v>0</v>
      </c>
      <c r="T35" s="37">
        <v>0</v>
      </c>
    </row>
    <row r="36" spans="1:20" x14ac:dyDescent="0.45">
      <c r="A36" s="37">
        <v>1</v>
      </c>
      <c r="B36" s="34"/>
      <c r="C36" s="35"/>
      <c r="D36" s="34"/>
      <c r="E36" s="34"/>
      <c r="F36" s="37">
        <f>FourthFloor[[#This Row],[Unit Change]]+$B$33*2</f>
        <v>0</v>
      </c>
      <c r="G36" s="37" t="str">
        <f>_xlfn.IFNA(IF(FourthFloor[[#This Row],[Custom Angular Direction]]="",INDEX(Direction[Degree],MATCH(FourthFloor[[#This Row],[Direction]],Direction[Direction],0)),FourthFloor[[#This Row],[Custom Angular Direction]]),"")</f>
        <v/>
      </c>
      <c r="H36" s="48">
        <f>IFERROR(IF(COS(RADIANS(FourthFloor[[#This Row],[Angular Direction]]))*FourthFloor[[#This Row],[Unit Change]]=0,H35,H35+COS(RADIANS(FourthFloor[[#This Row],[Angular Direction]]))*FourthFloor[[#This Row],[Unit Change]]),$H$35)</f>
        <v>0</v>
      </c>
      <c r="I36" s="48">
        <f>IFERROR(IF(SIN(RADIANS(FourthFloor[[#This Row],[Angular Direction]]))*FourthFloor[[#This Row],[Unit Change]]=0,I35,I35+SIN(RADIANS(FourthFloor[[#This Row],[Angular Direction]]))*FourthFloor[[#This Row],[Unit Change]]),$I$35)</f>
        <v>0</v>
      </c>
      <c r="J36" s="48">
        <f>H35*FourthFloor[[#This Row],[Y-Axis]]-I35*FourthFloor[[#This Row],[X-Axis]]</f>
        <v>0</v>
      </c>
      <c r="L36" s="37">
        <v>1</v>
      </c>
      <c r="M36" s="34"/>
      <c r="N36" s="35"/>
      <c r="O36" s="55"/>
      <c r="P36" s="37">
        <f>OverlapFourthFloor[[#This Row],[Unit Change]]+$M$33*2</f>
        <v>0</v>
      </c>
      <c r="Q36" s="37" t="str">
        <f>_xlfn.IFNA(IF(OverlapFourthFloor[[#This Row],[Custom Angular Direction]]="",INDEX(Direction[Degree],MATCH(OverlapFourthFloor[[#This Row],[Direction]],Direction[Direction],0)),OverlapFourthFloor[[#This Row],[Custom Angular Direction]]),"")</f>
        <v/>
      </c>
      <c r="R36" s="48">
        <f>IFERROR(IF(COS(RADIANS(OverlapFourthFloor[[#This Row],[Angular Direction]]))*OverlapFourthFloor[[#This Row],[Unit Change]]=0,R35,R35+COS(RADIANS(OverlapFourthFloor[[#This Row],[Angular Direction]]))*OverlapFourthFloor[[#This Row],[Unit Change]]),$R$35)</f>
        <v>0</v>
      </c>
      <c r="S36" s="48">
        <f>IFERROR(IF(SIN(RADIANS(OverlapFourthFloor[[#This Row],[Angular Direction]]))*OverlapFourthFloor[[#This Row],[Unit Change]]=0,S35,S35+SIN(RADIANS(OverlapFourthFloor[[#This Row],[Angular Direction]]))*OverlapFourthFloor[[#This Row],[Unit Change]]),$S$35)</f>
        <v>0</v>
      </c>
      <c r="T36" s="48">
        <f>R35*OverlapFourthFloor[[#This Row],[Y-Axis]]-S35*OverlapFourthFloor[[#This Row],[X-Axis]]</f>
        <v>0</v>
      </c>
    </row>
    <row r="37" spans="1:20" x14ac:dyDescent="0.45">
      <c r="A37" s="37">
        <v>2</v>
      </c>
      <c r="B37" s="34"/>
      <c r="C37" s="35"/>
      <c r="D37" s="34"/>
      <c r="E37" s="34"/>
      <c r="F37" s="37">
        <f>FourthFloor[[#This Row],[Unit Change]]+$B$33*2</f>
        <v>0</v>
      </c>
      <c r="G37" s="37" t="str">
        <f>_xlfn.IFNA(IF(FourthFloor[[#This Row],[Custom Angular Direction]]="",INDEX(Direction[Degree],MATCH(FourthFloor[[#This Row],[Direction]],Direction[Direction],0)),FourthFloor[[#This Row],[Custom Angular Direction]]),"")</f>
        <v/>
      </c>
      <c r="H37" s="48">
        <f>IFERROR(IF(COS(RADIANS(FourthFloor[[#This Row],[Angular Direction]]))*FourthFloor[[#This Row],[Unit Change]]=0,H36,H36+COS(RADIANS(FourthFloor[[#This Row],[Angular Direction]]))*FourthFloor[[#This Row],[Unit Change]]),$H$35)</f>
        <v>0</v>
      </c>
      <c r="I37" s="48">
        <f>IFERROR(IF(SIN(RADIANS(FourthFloor[[#This Row],[Angular Direction]]))*FourthFloor[[#This Row],[Unit Change]]=0,I36,I36+SIN(RADIANS(FourthFloor[[#This Row],[Angular Direction]]))*FourthFloor[[#This Row],[Unit Change]]),$I$35)</f>
        <v>0</v>
      </c>
      <c r="J37" s="48">
        <f>H36*FourthFloor[[#This Row],[Y-Axis]]-I36*FourthFloor[[#This Row],[X-Axis]]</f>
        <v>0</v>
      </c>
      <c r="L37" s="37">
        <v>2</v>
      </c>
      <c r="M37" s="34"/>
      <c r="N37" s="35"/>
      <c r="O37" s="55"/>
      <c r="P37" s="37">
        <f>OverlapFourthFloor[[#This Row],[Unit Change]]+$B$33*2</f>
        <v>0</v>
      </c>
      <c r="Q37" s="37" t="str">
        <f>_xlfn.IFNA(IF(OverlapFourthFloor[[#This Row],[Custom Angular Direction]]="",INDEX(Direction[Degree],MATCH(OverlapFourthFloor[[#This Row],[Direction]],Direction[Direction],0)),OverlapFourthFloor[[#This Row],[Custom Angular Direction]]),"")</f>
        <v/>
      </c>
      <c r="R37" s="48">
        <f>IFERROR(IF(COS(RADIANS(OverlapFourthFloor[[#This Row],[Angular Direction]]))*OverlapFourthFloor[[#This Row],[Unit Change]]=0,R36,R36+COS(RADIANS(OverlapFourthFloor[[#This Row],[Angular Direction]]))*OverlapFourthFloor[[#This Row],[Unit Change]]),$R$35)</f>
        <v>0</v>
      </c>
      <c r="S37" s="48">
        <f>IFERROR(IF(SIN(RADIANS(OverlapFourthFloor[[#This Row],[Angular Direction]]))*OverlapFourthFloor[[#This Row],[Unit Change]]=0,S36,S36+SIN(RADIANS(OverlapFourthFloor[[#This Row],[Angular Direction]]))*OverlapFourthFloor[[#This Row],[Unit Change]]),$S$35)</f>
        <v>0</v>
      </c>
      <c r="T37" s="48">
        <f>R36*OverlapFourthFloor[[#This Row],[Y-Axis]]-S36*OverlapFourthFloor[[#This Row],[X-Axis]]</f>
        <v>0</v>
      </c>
    </row>
    <row r="38" spans="1:20" x14ac:dyDescent="0.45">
      <c r="A38" s="37">
        <v>3</v>
      </c>
      <c r="B38" s="34"/>
      <c r="C38" s="35"/>
      <c r="D38" s="34"/>
      <c r="E38" s="34"/>
      <c r="F38" s="37">
        <f>FourthFloor[[#This Row],[Unit Change]]+$B$33*2</f>
        <v>0</v>
      </c>
      <c r="G38" s="37" t="str">
        <f>_xlfn.IFNA(IF(FourthFloor[[#This Row],[Custom Angular Direction]]="",INDEX(Direction[Degree],MATCH(FourthFloor[[#This Row],[Direction]],Direction[Direction],0)),FourthFloor[[#This Row],[Custom Angular Direction]]),"")</f>
        <v/>
      </c>
      <c r="H38" s="48">
        <f>IFERROR(IF(COS(RADIANS(FourthFloor[[#This Row],[Angular Direction]]))*FourthFloor[[#This Row],[Unit Change]]=0,H37,H37+COS(RADIANS(FourthFloor[[#This Row],[Angular Direction]]))*FourthFloor[[#This Row],[Unit Change]]),$H$35)</f>
        <v>0</v>
      </c>
      <c r="I38" s="48">
        <f>IFERROR(IF(SIN(RADIANS(FourthFloor[[#This Row],[Angular Direction]]))*FourthFloor[[#This Row],[Unit Change]]=0,I37,I37+SIN(RADIANS(FourthFloor[[#This Row],[Angular Direction]]))*FourthFloor[[#This Row],[Unit Change]]),$I$35)</f>
        <v>0</v>
      </c>
      <c r="J38" s="48">
        <f>H37*FourthFloor[[#This Row],[Y-Axis]]-I37*FourthFloor[[#This Row],[X-Axis]]</f>
        <v>0</v>
      </c>
      <c r="L38" s="37">
        <v>3</v>
      </c>
      <c r="M38" s="34"/>
      <c r="N38" s="35"/>
      <c r="O38" s="55"/>
      <c r="P38" s="37">
        <f>OverlapFourthFloor[[#This Row],[Unit Change]]+$B$33*2</f>
        <v>0</v>
      </c>
      <c r="Q38" s="37" t="str">
        <f>_xlfn.IFNA(IF(OverlapFourthFloor[[#This Row],[Custom Angular Direction]]="",INDEX(Direction[Degree],MATCH(OverlapFourthFloor[[#This Row],[Direction]],Direction[Direction],0)),OverlapFourthFloor[[#This Row],[Custom Angular Direction]]),"")</f>
        <v/>
      </c>
      <c r="R38" s="48">
        <f>IFERROR(IF(COS(RADIANS(OverlapFourthFloor[[#This Row],[Angular Direction]]))*OverlapFourthFloor[[#This Row],[Unit Change]]=0,R37,R37+COS(RADIANS(OverlapFourthFloor[[#This Row],[Angular Direction]]))*OverlapFourthFloor[[#This Row],[Unit Change]]),$R$35)</f>
        <v>0</v>
      </c>
      <c r="S38" s="48">
        <f>IFERROR(IF(SIN(RADIANS(OverlapFourthFloor[[#This Row],[Angular Direction]]))*OverlapFourthFloor[[#This Row],[Unit Change]]=0,S37,S37+SIN(RADIANS(OverlapFourthFloor[[#This Row],[Angular Direction]]))*OverlapFourthFloor[[#This Row],[Unit Change]]),$S$35)</f>
        <v>0</v>
      </c>
      <c r="T38" s="48">
        <f>R37*OverlapFourthFloor[[#This Row],[Y-Axis]]-S37*OverlapFourthFloor[[#This Row],[X-Axis]]</f>
        <v>0</v>
      </c>
    </row>
    <row r="39" spans="1:20" x14ac:dyDescent="0.45">
      <c r="A39" s="37">
        <v>4</v>
      </c>
      <c r="B39" s="34"/>
      <c r="C39" s="35"/>
      <c r="D39" s="34"/>
      <c r="E39" s="34"/>
      <c r="F39" s="37">
        <f>FourthFloor[[#This Row],[Unit Change]]+$B$33*2</f>
        <v>0</v>
      </c>
      <c r="G39" s="37" t="str">
        <f>_xlfn.IFNA(IF(FourthFloor[[#This Row],[Custom Angular Direction]]="",INDEX(Direction[Degree],MATCH(FourthFloor[[#This Row],[Direction]],Direction[Direction],0)),FourthFloor[[#This Row],[Custom Angular Direction]]),"")</f>
        <v/>
      </c>
      <c r="H39" s="48">
        <f>IFERROR(IF(COS(RADIANS(FourthFloor[[#This Row],[Angular Direction]]))*FourthFloor[[#This Row],[Unit Change]]=0,H38,H38+COS(RADIANS(FourthFloor[[#This Row],[Angular Direction]]))*FourthFloor[[#This Row],[Unit Change]]),$H$35)</f>
        <v>0</v>
      </c>
      <c r="I39" s="48">
        <f>IFERROR(IF(SIN(RADIANS(FourthFloor[[#This Row],[Angular Direction]]))*FourthFloor[[#This Row],[Unit Change]]=0,I38,I38+SIN(RADIANS(FourthFloor[[#This Row],[Angular Direction]]))*FourthFloor[[#This Row],[Unit Change]]),$I$35)</f>
        <v>0</v>
      </c>
      <c r="J39" s="48">
        <f>H38*FourthFloor[[#This Row],[Y-Axis]]-I38*FourthFloor[[#This Row],[X-Axis]]</f>
        <v>0</v>
      </c>
      <c r="L39" s="37">
        <v>4</v>
      </c>
      <c r="M39" s="34"/>
      <c r="N39" s="35"/>
      <c r="O39" s="55"/>
      <c r="P39" s="37">
        <f>OverlapFourthFloor[[#This Row],[Unit Change]]+$B$33*2</f>
        <v>0</v>
      </c>
      <c r="Q39" s="37" t="str">
        <f>_xlfn.IFNA(IF(OverlapFourthFloor[[#This Row],[Custom Angular Direction]]="",INDEX(Direction[Degree],MATCH(OverlapFourthFloor[[#This Row],[Direction]],Direction[Direction],0)),OverlapFourthFloor[[#This Row],[Custom Angular Direction]]),"")</f>
        <v/>
      </c>
      <c r="R39" s="48">
        <f>IFERROR(IF(COS(RADIANS(OverlapFourthFloor[[#This Row],[Angular Direction]]))*OverlapFourthFloor[[#This Row],[Unit Change]]=0,R38,R38+COS(RADIANS(OverlapFourthFloor[[#This Row],[Angular Direction]]))*OverlapFourthFloor[[#This Row],[Unit Change]]),$R$35)</f>
        <v>0</v>
      </c>
      <c r="S39" s="48">
        <f>IFERROR(IF(SIN(RADIANS(OverlapFourthFloor[[#This Row],[Angular Direction]]))*OverlapFourthFloor[[#This Row],[Unit Change]]=0,S38,S38+SIN(RADIANS(OverlapFourthFloor[[#This Row],[Angular Direction]]))*OverlapFourthFloor[[#This Row],[Unit Change]]),$S$35)</f>
        <v>0</v>
      </c>
      <c r="T39" s="48">
        <f>R38*OverlapFourthFloor[[#This Row],[Y-Axis]]-S38*OverlapFourthFloor[[#This Row],[X-Axis]]</f>
        <v>0</v>
      </c>
    </row>
    <row r="40" spans="1:20" x14ac:dyDescent="0.45">
      <c r="A40" s="37">
        <v>5</v>
      </c>
      <c r="B40" s="34"/>
      <c r="C40" s="35"/>
      <c r="D40" s="34"/>
      <c r="E40" s="34"/>
      <c r="F40" s="37">
        <f>FourthFloor[[#This Row],[Unit Change]]+$B$33*2</f>
        <v>0</v>
      </c>
      <c r="G40" s="37" t="str">
        <f>_xlfn.IFNA(IF(FourthFloor[[#This Row],[Custom Angular Direction]]="",INDEX(Direction[Degree],MATCH(FourthFloor[[#This Row],[Direction]],Direction[Direction],0)),FourthFloor[[#This Row],[Custom Angular Direction]]),"")</f>
        <v/>
      </c>
      <c r="H40" s="48">
        <f>IFERROR(IF(COS(RADIANS(FourthFloor[[#This Row],[Angular Direction]]))*FourthFloor[[#This Row],[Unit Change]]=0,H39,H39+COS(RADIANS(FourthFloor[[#This Row],[Angular Direction]]))*FourthFloor[[#This Row],[Unit Change]]),$H$35)</f>
        <v>0</v>
      </c>
      <c r="I40" s="48">
        <f>IFERROR(IF(SIN(RADIANS(FourthFloor[[#This Row],[Angular Direction]]))*FourthFloor[[#This Row],[Unit Change]]=0,I39,I39+SIN(RADIANS(FourthFloor[[#This Row],[Angular Direction]]))*FourthFloor[[#This Row],[Unit Change]]),$I$35)</f>
        <v>0</v>
      </c>
      <c r="J40" s="48">
        <f>H39*FourthFloor[[#This Row],[Y-Axis]]-I39*FourthFloor[[#This Row],[X-Axis]]</f>
        <v>0</v>
      </c>
      <c r="L40" s="37">
        <v>5</v>
      </c>
      <c r="M40" s="34"/>
      <c r="N40" s="35"/>
      <c r="O40" s="55"/>
      <c r="P40" s="37">
        <f>OverlapFourthFloor[[#This Row],[Unit Change]]+$B$33*2</f>
        <v>0</v>
      </c>
      <c r="Q40" s="37" t="str">
        <f>_xlfn.IFNA(IF(OverlapFourthFloor[[#This Row],[Custom Angular Direction]]="",INDEX(Direction[Degree],MATCH(OverlapFourthFloor[[#This Row],[Direction]],Direction[Direction],0)),OverlapFourthFloor[[#This Row],[Custom Angular Direction]]),"")</f>
        <v/>
      </c>
      <c r="R40" s="48">
        <f>IFERROR(IF(COS(RADIANS(OverlapFourthFloor[[#This Row],[Angular Direction]]))*OverlapFourthFloor[[#This Row],[Unit Change]]=0,R39,R39+COS(RADIANS(OverlapFourthFloor[[#This Row],[Angular Direction]]))*OverlapFourthFloor[[#This Row],[Unit Change]]),$R$35)</f>
        <v>0</v>
      </c>
      <c r="S40" s="48">
        <f>IFERROR(IF(SIN(RADIANS(OverlapFourthFloor[[#This Row],[Angular Direction]]))*OverlapFourthFloor[[#This Row],[Unit Change]]=0,S39,S39+SIN(RADIANS(OverlapFourthFloor[[#This Row],[Angular Direction]]))*OverlapFourthFloor[[#This Row],[Unit Change]]),$S$35)</f>
        <v>0</v>
      </c>
      <c r="T40" s="48">
        <f>R39*OverlapFourthFloor[[#This Row],[Y-Axis]]-S39*OverlapFourthFloor[[#This Row],[X-Axis]]</f>
        <v>0</v>
      </c>
    </row>
    <row r="41" spans="1:20" x14ac:dyDescent="0.45">
      <c r="A41" s="37">
        <v>6</v>
      </c>
      <c r="B41" s="34"/>
      <c r="C41" s="35"/>
      <c r="D41" s="34"/>
      <c r="E41" s="34"/>
      <c r="F41" s="37">
        <f>FourthFloor[[#This Row],[Unit Change]]+$B$33*2</f>
        <v>0</v>
      </c>
      <c r="G41" s="37" t="str">
        <f>_xlfn.IFNA(IF(FourthFloor[[#This Row],[Custom Angular Direction]]="",INDEX(Direction[Degree],MATCH(FourthFloor[[#This Row],[Direction]],Direction[Direction],0)),FourthFloor[[#This Row],[Custom Angular Direction]]),"")</f>
        <v/>
      </c>
      <c r="H41" s="48">
        <f>IFERROR(IF(COS(RADIANS(FourthFloor[[#This Row],[Angular Direction]]))*FourthFloor[[#This Row],[Unit Change]]=0,H40,H40+COS(RADIANS(FourthFloor[[#This Row],[Angular Direction]]))*FourthFloor[[#This Row],[Unit Change]]),$H$35)</f>
        <v>0</v>
      </c>
      <c r="I41" s="48">
        <f>IFERROR(IF(SIN(RADIANS(FourthFloor[[#This Row],[Angular Direction]]))*FourthFloor[[#This Row],[Unit Change]]=0,I40,I40+SIN(RADIANS(FourthFloor[[#This Row],[Angular Direction]]))*FourthFloor[[#This Row],[Unit Change]]),$I$35)</f>
        <v>0</v>
      </c>
      <c r="J41" s="48">
        <f>H40*FourthFloor[[#This Row],[Y-Axis]]-I40*FourthFloor[[#This Row],[X-Axis]]</f>
        <v>0</v>
      </c>
      <c r="L41" s="37">
        <v>6</v>
      </c>
      <c r="M41" s="34"/>
      <c r="N41" s="35"/>
      <c r="O41" s="55"/>
      <c r="P41" s="37">
        <f>OverlapFourthFloor[[#This Row],[Unit Change]]+$B$33*2</f>
        <v>0</v>
      </c>
      <c r="Q41" s="37" t="str">
        <f>_xlfn.IFNA(IF(OverlapFourthFloor[[#This Row],[Custom Angular Direction]]="",INDEX(Direction[Degree],MATCH(OverlapFourthFloor[[#This Row],[Direction]],Direction[Direction],0)),OverlapFourthFloor[[#This Row],[Custom Angular Direction]]),"")</f>
        <v/>
      </c>
      <c r="R41" s="48">
        <f>IFERROR(IF(COS(RADIANS(OverlapFourthFloor[[#This Row],[Angular Direction]]))*OverlapFourthFloor[[#This Row],[Unit Change]]=0,R40,R40+COS(RADIANS(OverlapFourthFloor[[#This Row],[Angular Direction]]))*OverlapFourthFloor[[#This Row],[Unit Change]]),$R$35)</f>
        <v>0</v>
      </c>
      <c r="S41" s="48">
        <f>IFERROR(IF(SIN(RADIANS(OverlapFourthFloor[[#This Row],[Angular Direction]]))*OverlapFourthFloor[[#This Row],[Unit Change]]=0,S40,S40+SIN(RADIANS(OverlapFourthFloor[[#This Row],[Angular Direction]]))*OverlapFourthFloor[[#This Row],[Unit Change]]),$S$35)</f>
        <v>0</v>
      </c>
      <c r="T41" s="48">
        <f>R40*OverlapFourthFloor[[#This Row],[Y-Axis]]-S40*OverlapFourthFloor[[#This Row],[X-Axis]]</f>
        <v>0</v>
      </c>
    </row>
    <row r="42" spans="1:20" x14ac:dyDescent="0.45">
      <c r="A42" s="37">
        <v>7</v>
      </c>
      <c r="B42" s="34"/>
      <c r="C42" s="35"/>
      <c r="D42" s="34"/>
      <c r="E42" s="34"/>
      <c r="F42" s="37">
        <f>FourthFloor[[#This Row],[Unit Change]]+$B$33*2</f>
        <v>0</v>
      </c>
      <c r="G42" s="37" t="str">
        <f>_xlfn.IFNA(IF(FourthFloor[[#This Row],[Custom Angular Direction]]="",INDEX(Direction[Degree],MATCH(FourthFloor[[#This Row],[Direction]],Direction[Direction],0)),FourthFloor[[#This Row],[Custom Angular Direction]]),"")</f>
        <v/>
      </c>
      <c r="H42" s="48">
        <f>IFERROR(IF(COS(RADIANS(FourthFloor[[#This Row],[Angular Direction]]))*FourthFloor[[#This Row],[Unit Change]]=0,H41,H41+COS(RADIANS(FourthFloor[[#This Row],[Angular Direction]]))*FourthFloor[[#This Row],[Unit Change]]),$H$35)</f>
        <v>0</v>
      </c>
      <c r="I42" s="48">
        <f>IFERROR(IF(SIN(RADIANS(FourthFloor[[#This Row],[Angular Direction]]))*FourthFloor[[#This Row],[Unit Change]]=0,I41,I41+SIN(RADIANS(FourthFloor[[#This Row],[Angular Direction]]))*FourthFloor[[#This Row],[Unit Change]]),$I$35)</f>
        <v>0</v>
      </c>
      <c r="J42" s="48">
        <f>H41*FourthFloor[[#This Row],[Y-Axis]]-I41*FourthFloor[[#This Row],[X-Axis]]</f>
        <v>0</v>
      </c>
      <c r="L42" s="37">
        <v>7</v>
      </c>
      <c r="M42" s="34"/>
      <c r="N42" s="35"/>
      <c r="O42" s="55"/>
      <c r="P42" s="37">
        <f>OverlapFourthFloor[[#This Row],[Unit Change]]+$B$33*2</f>
        <v>0</v>
      </c>
      <c r="Q42" s="37" t="str">
        <f>_xlfn.IFNA(IF(OverlapFourthFloor[[#This Row],[Custom Angular Direction]]="",INDEX(Direction[Degree],MATCH(OverlapFourthFloor[[#This Row],[Direction]],Direction[Direction],0)),OverlapFourthFloor[[#This Row],[Custom Angular Direction]]),"")</f>
        <v/>
      </c>
      <c r="R42" s="48">
        <f>IFERROR(IF(COS(RADIANS(OverlapFourthFloor[[#This Row],[Angular Direction]]))*OverlapFourthFloor[[#This Row],[Unit Change]]=0,R41,R41+COS(RADIANS(OverlapFourthFloor[[#This Row],[Angular Direction]]))*OverlapFourthFloor[[#This Row],[Unit Change]]),$R$35)</f>
        <v>0</v>
      </c>
      <c r="S42" s="48">
        <f>IFERROR(IF(SIN(RADIANS(OverlapFourthFloor[[#This Row],[Angular Direction]]))*OverlapFourthFloor[[#This Row],[Unit Change]]=0,S41,S41+SIN(RADIANS(OverlapFourthFloor[[#This Row],[Angular Direction]]))*OverlapFourthFloor[[#This Row],[Unit Change]]),$S$35)</f>
        <v>0</v>
      </c>
      <c r="T42" s="48">
        <f>R41*OverlapFourthFloor[[#This Row],[Y-Axis]]-S41*OverlapFourthFloor[[#This Row],[X-Axis]]</f>
        <v>0</v>
      </c>
    </row>
    <row r="43" spans="1:20" x14ac:dyDescent="0.45">
      <c r="A43" s="37">
        <v>8</v>
      </c>
      <c r="B43" s="34"/>
      <c r="C43" s="35"/>
      <c r="D43" s="34"/>
      <c r="E43" s="34"/>
      <c r="F43" s="37">
        <f>FourthFloor[[#This Row],[Unit Change]]+$B$33*2</f>
        <v>0</v>
      </c>
      <c r="G43" s="37" t="str">
        <f>_xlfn.IFNA(IF(FourthFloor[[#This Row],[Custom Angular Direction]]="",INDEX(Direction[Degree],MATCH(FourthFloor[[#This Row],[Direction]],Direction[Direction],0)),FourthFloor[[#This Row],[Custom Angular Direction]]),"")</f>
        <v/>
      </c>
      <c r="H43" s="48">
        <f>IFERROR(IF(COS(RADIANS(FourthFloor[[#This Row],[Angular Direction]]))*FourthFloor[[#This Row],[Unit Change]]=0,H42,H42+COS(RADIANS(FourthFloor[[#This Row],[Angular Direction]]))*FourthFloor[[#This Row],[Unit Change]]),$H$35)</f>
        <v>0</v>
      </c>
      <c r="I43" s="48">
        <f>IFERROR(IF(SIN(RADIANS(FourthFloor[[#This Row],[Angular Direction]]))*FourthFloor[[#This Row],[Unit Change]]=0,I42,I42+SIN(RADIANS(FourthFloor[[#This Row],[Angular Direction]]))*FourthFloor[[#This Row],[Unit Change]]),$I$35)</f>
        <v>0</v>
      </c>
      <c r="J43" s="48">
        <f>H42*FourthFloor[[#This Row],[Y-Axis]]-I42*FourthFloor[[#This Row],[X-Axis]]</f>
        <v>0</v>
      </c>
      <c r="L43" s="37">
        <v>8</v>
      </c>
      <c r="M43" s="34"/>
      <c r="N43" s="35"/>
      <c r="O43" s="55"/>
      <c r="P43" s="37">
        <f>OverlapFourthFloor[[#This Row],[Unit Change]]+$B$33*2</f>
        <v>0</v>
      </c>
      <c r="Q43" s="37" t="str">
        <f>_xlfn.IFNA(IF(OverlapFourthFloor[[#This Row],[Custom Angular Direction]]="",INDEX(Direction[Degree],MATCH(OverlapFourthFloor[[#This Row],[Direction]],Direction[Direction],0)),OverlapFourthFloor[[#This Row],[Custom Angular Direction]]),"")</f>
        <v/>
      </c>
      <c r="R43" s="48">
        <f>IFERROR(IF(COS(RADIANS(OverlapFourthFloor[[#This Row],[Angular Direction]]))*OverlapFourthFloor[[#This Row],[Unit Change]]=0,R42,R42+COS(RADIANS(OverlapFourthFloor[[#This Row],[Angular Direction]]))*OverlapFourthFloor[[#This Row],[Unit Change]]),$R$35)</f>
        <v>0</v>
      </c>
      <c r="S43" s="48">
        <f>IFERROR(IF(SIN(RADIANS(OverlapFourthFloor[[#This Row],[Angular Direction]]))*OverlapFourthFloor[[#This Row],[Unit Change]]=0,S42,S42+SIN(RADIANS(OverlapFourthFloor[[#This Row],[Angular Direction]]))*OverlapFourthFloor[[#This Row],[Unit Change]]),$S$35)</f>
        <v>0</v>
      </c>
      <c r="T43" s="48">
        <f>R42*OverlapFourthFloor[[#This Row],[Y-Axis]]-S42*OverlapFourthFloor[[#This Row],[X-Axis]]</f>
        <v>0</v>
      </c>
    </row>
    <row r="44" spans="1:20" x14ac:dyDescent="0.45">
      <c r="A44" s="37">
        <v>9</v>
      </c>
      <c r="B44" s="34"/>
      <c r="C44" s="35"/>
      <c r="D44" s="34"/>
      <c r="E44" s="34"/>
      <c r="F44" s="37">
        <f>FourthFloor[[#This Row],[Unit Change]]+$B$33*2</f>
        <v>0</v>
      </c>
      <c r="G44" s="37" t="str">
        <f>_xlfn.IFNA(IF(FourthFloor[[#This Row],[Custom Angular Direction]]="",INDEX(Direction[Degree],MATCH(FourthFloor[[#This Row],[Direction]],Direction[Direction],0)),FourthFloor[[#This Row],[Custom Angular Direction]]),"")</f>
        <v/>
      </c>
      <c r="H44" s="48">
        <f>IFERROR(IF(COS(RADIANS(FourthFloor[[#This Row],[Angular Direction]]))*FourthFloor[[#This Row],[Unit Change]]=0,H43,H43+COS(RADIANS(FourthFloor[[#This Row],[Angular Direction]]))*FourthFloor[[#This Row],[Unit Change]]),$H$35)</f>
        <v>0</v>
      </c>
      <c r="I44" s="48">
        <f>IFERROR(IF(SIN(RADIANS(FourthFloor[[#This Row],[Angular Direction]]))*FourthFloor[[#This Row],[Unit Change]]=0,I43,I43+SIN(RADIANS(FourthFloor[[#This Row],[Angular Direction]]))*FourthFloor[[#This Row],[Unit Change]]),$I$35)</f>
        <v>0</v>
      </c>
      <c r="J44" s="48">
        <f>H43*FourthFloor[[#This Row],[Y-Axis]]-I43*FourthFloor[[#This Row],[X-Axis]]</f>
        <v>0</v>
      </c>
      <c r="L44" s="37">
        <v>9</v>
      </c>
      <c r="M44" s="34"/>
      <c r="N44" s="35"/>
      <c r="O44" s="55"/>
      <c r="P44" s="37">
        <f>OverlapFourthFloor[[#This Row],[Unit Change]]+$B$33*2</f>
        <v>0</v>
      </c>
      <c r="Q44" s="37" t="str">
        <f>_xlfn.IFNA(IF(OverlapFourthFloor[[#This Row],[Custom Angular Direction]]="",INDEX(Direction[Degree],MATCH(OverlapFourthFloor[[#This Row],[Direction]],Direction[Direction],0)),OverlapFourthFloor[[#This Row],[Custom Angular Direction]]),"")</f>
        <v/>
      </c>
      <c r="R44" s="48">
        <f>IFERROR(IF(COS(RADIANS(OverlapFourthFloor[[#This Row],[Angular Direction]]))*OverlapFourthFloor[[#This Row],[Unit Change]]=0,R43,R43+COS(RADIANS(OverlapFourthFloor[[#This Row],[Angular Direction]]))*OverlapFourthFloor[[#This Row],[Unit Change]]),$R$35)</f>
        <v>0</v>
      </c>
      <c r="S44" s="48">
        <f>IFERROR(IF(SIN(RADIANS(OverlapFourthFloor[[#This Row],[Angular Direction]]))*OverlapFourthFloor[[#This Row],[Unit Change]]=0,S43,S43+SIN(RADIANS(OverlapFourthFloor[[#This Row],[Angular Direction]]))*OverlapFourthFloor[[#This Row],[Unit Change]]),$S$35)</f>
        <v>0</v>
      </c>
      <c r="T44" s="48">
        <f>R43*OverlapFourthFloor[[#This Row],[Y-Axis]]-S43*OverlapFourthFloor[[#This Row],[X-Axis]]</f>
        <v>0</v>
      </c>
    </row>
    <row r="45" spans="1:20" x14ac:dyDescent="0.45">
      <c r="A45" s="37">
        <v>10</v>
      </c>
      <c r="B45" s="34"/>
      <c r="C45" s="35"/>
      <c r="D45" s="34"/>
      <c r="E45" s="34"/>
      <c r="F45" s="37">
        <f>FourthFloor[[#This Row],[Unit Change]]+$B$33*2</f>
        <v>0</v>
      </c>
      <c r="G45" s="37" t="str">
        <f>_xlfn.IFNA(IF(FourthFloor[[#This Row],[Custom Angular Direction]]="",INDEX(Direction[Degree],MATCH(FourthFloor[[#This Row],[Direction]],Direction[Direction],0)),FourthFloor[[#This Row],[Custom Angular Direction]]),"")</f>
        <v/>
      </c>
      <c r="H45" s="48">
        <f>IFERROR(IF(COS(RADIANS(FourthFloor[[#This Row],[Angular Direction]]))*FourthFloor[[#This Row],[Unit Change]]=0,H44,H44+COS(RADIANS(FourthFloor[[#This Row],[Angular Direction]]))*FourthFloor[[#This Row],[Unit Change]]),$H$35)</f>
        <v>0</v>
      </c>
      <c r="I45" s="48">
        <f>IFERROR(IF(SIN(RADIANS(FourthFloor[[#This Row],[Angular Direction]]))*FourthFloor[[#This Row],[Unit Change]]=0,I44,I44+SIN(RADIANS(FourthFloor[[#This Row],[Angular Direction]]))*FourthFloor[[#This Row],[Unit Change]]),$I$35)</f>
        <v>0</v>
      </c>
      <c r="J45" s="48">
        <f>H44*FourthFloor[[#This Row],[Y-Axis]]-I44*FourthFloor[[#This Row],[X-Axis]]</f>
        <v>0</v>
      </c>
      <c r="L45" s="37">
        <v>10</v>
      </c>
      <c r="M45" s="34"/>
      <c r="N45" s="35"/>
      <c r="O45" s="55"/>
      <c r="P45" s="37">
        <f>OverlapFourthFloor[[#This Row],[Unit Change]]+$B$33*2</f>
        <v>0</v>
      </c>
      <c r="Q45" s="37" t="str">
        <f>_xlfn.IFNA(IF(OverlapFourthFloor[[#This Row],[Custom Angular Direction]]="",INDEX(Direction[Degree],MATCH(OverlapFourthFloor[[#This Row],[Direction]],Direction[Direction],0)),OverlapFourthFloor[[#This Row],[Custom Angular Direction]]),"")</f>
        <v/>
      </c>
      <c r="R45" s="48">
        <f>IFERROR(IF(COS(RADIANS(OverlapFourthFloor[[#This Row],[Angular Direction]]))*OverlapFourthFloor[[#This Row],[Unit Change]]=0,R44,R44+COS(RADIANS(OverlapFourthFloor[[#This Row],[Angular Direction]]))*OverlapFourthFloor[[#This Row],[Unit Change]]),$R$35)</f>
        <v>0</v>
      </c>
      <c r="S45" s="48">
        <f>IFERROR(IF(SIN(RADIANS(OverlapFourthFloor[[#This Row],[Angular Direction]]))*OverlapFourthFloor[[#This Row],[Unit Change]]=0,S44,S44+SIN(RADIANS(OverlapFourthFloor[[#This Row],[Angular Direction]]))*OverlapFourthFloor[[#This Row],[Unit Change]]),$S$35)</f>
        <v>0</v>
      </c>
      <c r="T45" s="48">
        <f>R44*OverlapFourthFloor[[#This Row],[Y-Axis]]-S44*OverlapFourthFloor[[#This Row],[X-Axis]]</f>
        <v>0</v>
      </c>
    </row>
    <row r="46" spans="1:20" x14ac:dyDescent="0.45">
      <c r="A46" s="37">
        <v>11</v>
      </c>
      <c r="B46" s="34"/>
      <c r="C46" s="35"/>
      <c r="D46" s="34"/>
      <c r="E46" s="34"/>
      <c r="F46" s="37">
        <f>FourthFloor[[#This Row],[Unit Change]]+$B$33*2</f>
        <v>0</v>
      </c>
      <c r="G46" s="37" t="str">
        <f>_xlfn.IFNA(IF(FourthFloor[[#This Row],[Custom Angular Direction]]="",INDEX(Direction[Degree],MATCH(FourthFloor[[#This Row],[Direction]],Direction[Direction],0)),FourthFloor[[#This Row],[Custom Angular Direction]]),"")</f>
        <v/>
      </c>
      <c r="H46" s="48">
        <f>IFERROR(IF(COS(RADIANS(FourthFloor[[#This Row],[Angular Direction]]))*FourthFloor[[#This Row],[Unit Change]]=0,H45,H45+COS(RADIANS(FourthFloor[[#This Row],[Angular Direction]]))*FourthFloor[[#This Row],[Unit Change]]),$H$35)</f>
        <v>0</v>
      </c>
      <c r="I46" s="48">
        <f>IFERROR(IF(SIN(RADIANS(FourthFloor[[#This Row],[Angular Direction]]))*FourthFloor[[#This Row],[Unit Change]]=0,I45,I45+SIN(RADIANS(FourthFloor[[#This Row],[Angular Direction]]))*FourthFloor[[#This Row],[Unit Change]]),$I$35)</f>
        <v>0</v>
      </c>
      <c r="J46" s="48">
        <f>H45*FourthFloor[[#This Row],[Y-Axis]]-I45*FourthFloor[[#This Row],[X-Axis]]</f>
        <v>0</v>
      </c>
      <c r="L46" s="37">
        <v>11</v>
      </c>
      <c r="M46" s="34"/>
      <c r="N46" s="35"/>
      <c r="O46" s="55"/>
      <c r="P46" s="37">
        <f>OverlapFourthFloor[[#This Row],[Unit Change]]+$B$33*2</f>
        <v>0</v>
      </c>
      <c r="Q46" s="37" t="str">
        <f>_xlfn.IFNA(IF(OverlapFourthFloor[[#This Row],[Custom Angular Direction]]="",INDEX(Direction[Degree],MATCH(OverlapFourthFloor[[#This Row],[Direction]],Direction[Direction],0)),OverlapFourthFloor[[#This Row],[Custom Angular Direction]]),"")</f>
        <v/>
      </c>
      <c r="R46" s="48">
        <f>IFERROR(IF(COS(RADIANS(OverlapFourthFloor[[#This Row],[Angular Direction]]))*OverlapFourthFloor[[#This Row],[Unit Change]]=0,R45,R45+COS(RADIANS(OverlapFourthFloor[[#This Row],[Angular Direction]]))*OverlapFourthFloor[[#This Row],[Unit Change]]),$R$35)</f>
        <v>0</v>
      </c>
      <c r="S46" s="48">
        <f>IFERROR(IF(SIN(RADIANS(OverlapFourthFloor[[#This Row],[Angular Direction]]))*OverlapFourthFloor[[#This Row],[Unit Change]]=0,S45,S45+SIN(RADIANS(OverlapFourthFloor[[#This Row],[Angular Direction]]))*OverlapFourthFloor[[#This Row],[Unit Change]]),$S$35)</f>
        <v>0</v>
      </c>
      <c r="T46" s="48">
        <f>R45*OverlapFourthFloor[[#This Row],[Y-Axis]]-S45*OverlapFourthFloor[[#This Row],[X-Axis]]</f>
        <v>0</v>
      </c>
    </row>
    <row r="47" spans="1:20" x14ac:dyDescent="0.45">
      <c r="A47" s="37">
        <v>12</v>
      </c>
      <c r="B47" s="34"/>
      <c r="C47" s="35"/>
      <c r="D47" s="34"/>
      <c r="E47" s="34"/>
      <c r="F47" s="37">
        <f>FourthFloor[[#This Row],[Unit Change]]+$B$33*2</f>
        <v>0</v>
      </c>
      <c r="G47" s="37" t="str">
        <f>_xlfn.IFNA(IF(FourthFloor[[#This Row],[Custom Angular Direction]]="",INDEX(Direction[Degree],MATCH(FourthFloor[[#This Row],[Direction]],Direction[Direction],0)),FourthFloor[[#This Row],[Custom Angular Direction]]),"")</f>
        <v/>
      </c>
      <c r="H47" s="48">
        <f>IFERROR(IF(COS(RADIANS(FourthFloor[[#This Row],[Angular Direction]]))*FourthFloor[[#This Row],[Unit Change]]=0,H46,H46+COS(RADIANS(FourthFloor[[#This Row],[Angular Direction]]))*FourthFloor[[#This Row],[Unit Change]]),$H$35)</f>
        <v>0</v>
      </c>
      <c r="I47" s="48">
        <f>IFERROR(IF(SIN(RADIANS(FourthFloor[[#This Row],[Angular Direction]]))*FourthFloor[[#This Row],[Unit Change]]=0,I46,I46+SIN(RADIANS(FourthFloor[[#This Row],[Angular Direction]]))*FourthFloor[[#This Row],[Unit Change]]),$I$35)</f>
        <v>0</v>
      </c>
      <c r="J47" s="48">
        <f>H46*FourthFloor[[#This Row],[Y-Axis]]-I46*FourthFloor[[#This Row],[X-Axis]]</f>
        <v>0</v>
      </c>
      <c r="L47" s="37">
        <v>12</v>
      </c>
      <c r="M47" s="34"/>
      <c r="N47" s="35"/>
      <c r="O47" s="55"/>
      <c r="P47" s="37">
        <f>OverlapFourthFloor[[#This Row],[Unit Change]]+$B$33*2</f>
        <v>0</v>
      </c>
      <c r="Q47" s="37" t="str">
        <f>_xlfn.IFNA(IF(OverlapFourthFloor[[#This Row],[Custom Angular Direction]]="",INDEX(Direction[Degree],MATCH(OverlapFourthFloor[[#This Row],[Direction]],Direction[Direction],0)),OverlapFourthFloor[[#This Row],[Custom Angular Direction]]),"")</f>
        <v/>
      </c>
      <c r="R47" s="48">
        <f>IFERROR(IF(COS(RADIANS(OverlapFourthFloor[[#This Row],[Angular Direction]]))*OverlapFourthFloor[[#This Row],[Unit Change]]=0,R46,R46+COS(RADIANS(OverlapFourthFloor[[#This Row],[Angular Direction]]))*OverlapFourthFloor[[#This Row],[Unit Change]]),$R$35)</f>
        <v>0</v>
      </c>
      <c r="S47" s="48">
        <f>IFERROR(IF(SIN(RADIANS(OverlapFourthFloor[[#This Row],[Angular Direction]]))*OverlapFourthFloor[[#This Row],[Unit Change]]=0,S46,S46+SIN(RADIANS(OverlapFourthFloor[[#This Row],[Angular Direction]]))*OverlapFourthFloor[[#This Row],[Unit Change]]),$S$35)</f>
        <v>0</v>
      </c>
      <c r="T47" s="48">
        <f>R46*OverlapFourthFloor[[#This Row],[Y-Axis]]-S46*OverlapFourthFloor[[#This Row],[X-Axis]]</f>
        <v>0</v>
      </c>
    </row>
    <row r="48" spans="1:20" x14ac:dyDescent="0.45">
      <c r="A48" s="37">
        <v>13</v>
      </c>
      <c r="B48" s="34"/>
      <c r="C48" s="35"/>
      <c r="D48" s="34"/>
      <c r="E48" s="34"/>
      <c r="F48" s="37">
        <f>FourthFloor[[#This Row],[Unit Change]]+$B$33*2</f>
        <v>0</v>
      </c>
      <c r="G48" s="37" t="str">
        <f>_xlfn.IFNA(IF(FourthFloor[[#This Row],[Custom Angular Direction]]="",INDEX(Direction[Degree],MATCH(FourthFloor[[#This Row],[Direction]],Direction[Direction],0)),FourthFloor[[#This Row],[Custom Angular Direction]]),"")</f>
        <v/>
      </c>
      <c r="H48" s="48">
        <f>IFERROR(IF(COS(RADIANS(FourthFloor[[#This Row],[Angular Direction]]))*FourthFloor[[#This Row],[Unit Change]]=0,H47,H47+COS(RADIANS(FourthFloor[[#This Row],[Angular Direction]]))*FourthFloor[[#This Row],[Unit Change]]),$H$35)</f>
        <v>0</v>
      </c>
      <c r="I48" s="48">
        <f>IFERROR(IF(SIN(RADIANS(FourthFloor[[#This Row],[Angular Direction]]))*FourthFloor[[#This Row],[Unit Change]]=0,I47,I47+SIN(RADIANS(FourthFloor[[#This Row],[Angular Direction]]))*FourthFloor[[#This Row],[Unit Change]]),$I$35)</f>
        <v>0</v>
      </c>
      <c r="J48" s="48">
        <f>H47*FourthFloor[[#This Row],[Y-Axis]]-I47*FourthFloor[[#This Row],[X-Axis]]</f>
        <v>0</v>
      </c>
      <c r="L48" s="37">
        <v>13</v>
      </c>
      <c r="M48" s="34"/>
      <c r="N48" s="35"/>
      <c r="O48" s="55"/>
      <c r="P48" s="37">
        <f>OverlapFourthFloor[[#This Row],[Unit Change]]+$B$33*2</f>
        <v>0</v>
      </c>
      <c r="Q48" s="37" t="str">
        <f>_xlfn.IFNA(IF(OverlapFourthFloor[[#This Row],[Custom Angular Direction]]="",INDEX(Direction[Degree],MATCH(OverlapFourthFloor[[#This Row],[Direction]],Direction[Direction],0)),OverlapFourthFloor[[#This Row],[Custom Angular Direction]]),"")</f>
        <v/>
      </c>
      <c r="R48" s="48">
        <f>IFERROR(IF(COS(RADIANS(OverlapFourthFloor[[#This Row],[Angular Direction]]))*OverlapFourthFloor[[#This Row],[Unit Change]]=0,R47,R47+COS(RADIANS(OverlapFourthFloor[[#This Row],[Angular Direction]]))*OverlapFourthFloor[[#This Row],[Unit Change]]),$R$35)</f>
        <v>0</v>
      </c>
      <c r="S48" s="48">
        <f>IFERROR(IF(SIN(RADIANS(OverlapFourthFloor[[#This Row],[Angular Direction]]))*OverlapFourthFloor[[#This Row],[Unit Change]]=0,S47,S47+SIN(RADIANS(OverlapFourthFloor[[#This Row],[Angular Direction]]))*OverlapFourthFloor[[#This Row],[Unit Change]]),$S$35)</f>
        <v>0</v>
      </c>
      <c r="T48" s="48">
        <f>R47*OverlapFourthFloor[[#This Row],[Y-Axis]]-S47*OverlapFourthFloor[[#This Row],[X-Axis]]</f>
        <v>0</v>
      </c>
    </row>
    <row r="49" spans="1:20" x14ac:dyDescent="0.45">
      <c r="A49" s="37">
        <v>14</v>
      </c>
      <c r="B49" s="34"/>
      <c r="C49" s="35"/>
      <c r="D49" s="34"/>
      <c r="E49" s="34"/>
      <c r="F49" s="37">
        <f>FourthFloor[[#This Row],[Unit Change]]+$B$33*2</f>
        <v>0</v>
      </c>
      <c r="G49" s="37" t="str">
        <f>_xlfn.IFNA(IF(FourthFloor[[#This Row],[Custom Angular Direction]]="",INDEX(Direction[Degree],MATCH(FourthFloor[[#This Row],[Direction]],Direction[Direction],0)),FourthFloor[[#This Row],[Custom Angular Direction]]),"")</f>
        <v/>
      </c>
      <c r="H49" s="48">
        <f>IFERROR(IF(COS(RADIANS(FourthFloor[[#This Row],[Angular Direction]]))*FourthFloor[[#This Row],[Unit Change]]=0,H48,H48+COS(RADIANS(FourthFloor[[#This Row],[Angular Direction]]))*FourthFloor[[#This Row],[Unit Change]]),$H$35)</f>
        <v>0</v>
      </c>
      <c r="I49" s="48">
        <f>IFERROR(IF(SIN(RADIANS(FourthFloor[[#This Row],[Angular Direction]]))*FourthFloor[[#This Row],[Unit Change]]=0,I48,I48+SIN(RADIANS(FourthFloor[[#This Row],[Angular Direction]]))*FourthFloor[[#This Row],[Unit Change]]),$I$35)</f>
        <v>0</v>
      </c>
      <c r="J49" s="48">
        <f>H48*FourthFloor[[#This Row],[Y-Axis]]-I48*FourthFloor[[#This Row],[X-Axis]]</f>
        <v>0</v>
      </c>
      <c r="L49" s="37">
        <v>14</v>
      </c>
      <c r="M49" s="34"/>
      <c r="N49" s="35"/>
      <c r="O49" s="55"/>
      <c r="P49" s="37">
        <f>OverlapFourthFloor[[#This Row],[Unit Change]]+$B$33*2</f>
        <v>0</v>
      </c>
      <c r="Q49" s="37" t="str">
        <f>_xlfn.IFNA(IF(OverlapFourthFloor[[#This Row],[Custom Angular Direction]]="",INDEX(Direction[Degree],MATCH(OverlapFourthFloor[[#This Row],[Direction]],Direction[Direction],0)),OverlapFourthFloor[[#This Row],[Custom Angular Direction]]),"")</f>
        <v/>
      </c>
      <c r="R49" s="48">
        <f>IFERROR(IF(COS(RADIANS(OverlapFourthFloor[[#This Row],[Angular Direction]]))*OverlapFourthFloor[[#This Row],[Unit Change]]=0,R48,R48+COS(RADIANS(OverlapFourthFloor[[#This Row],[Angular Direction]]))*OverlapFourthFloor[[#This Row],[Unit Change]]),$R$35)</f>
        <v>0</v>
      </c>
      <c r="S49" s="48">
        <f>IFERROR(IF(SIN(RADIANS(OverlapFourthFloor[[#This Row],[Angular Direction]]))*OverlapFourthFloor[[#This Row],[Unit Change]]=0,S48,S48+SIN(RADIANS(OverlapFourthFloor[[#This Row],[Angular Direction]]))*OverlapFourthFloor[[#This Row],[Unit Change]]),$S$35)</f>
        <v>0</v>
      </c>
      <c r="T49" s="48">
        <f>R48*OverlapFourthFloor[[#This Row],[Y-Axis]]-S48*OverlapFourthFloor[[#This Row],[X-Axis]]</f>
        <v>0</v>
      </c>
    </row>
    <row r="50" spans="1:20" x14ac:dyDescent="0.45">
      <c r="A50" s="37">
        <v>15</v>
      </c>
      <c r="B50" s="34"/>
      <c r="C50" s="35"/>
      <c r="D50" s="34"/>
      <c r="E50" s="34"/>
      <c r="F50" s="37">
        <f>FourthFloor[[#This Row],[Unit Change]]+$B$33*2</f>
        <v>0</v>
      </c>
      <c r="G50" s="37" t="str">
        <f>_xlfn.IFNA(IF(FourthFloor[[#This Row],[Custom Angular Direction]]="",INDEX(Direction[Degree],MATCH(FourthFloor[[#This Row],[Direction]],Direction[Direction],0)),FourthFloor[[#This Row],[Custom Angular Direction]]),"")</f>
        <v/>
      </c>
      <c r="H50" s="48">
        <f>IFERROR(IF(COS(RADIANS(FourthFloor[[#This Row],[Angular Direction]]))*FourthFloor[[#This Row],[Unit Change]]=0,H49,H49+COS(RADIANS(FourthFloor[[#This Row],[Angular Direction]]))*FourthFloor[[#This Row],[Unit Change]]),$H$35)</f>
        <v>0</v>
      </c>
      <c r="I50" s="48">
        <f>IFERROR(IF(SIN(RADIANS(FourthFloor[[#This Row],[Angular Direction]]))*FourthFloor[[#This Row],[Unit Change]]=0,I49,I49+SIN(RADIANS(FourthFloor[[#This Row],[Angular Direction]]))*FourthFloor[[#This Row],[Unit Change]]),$I$35)</f>
        <v>0</v>
      </c>
      <c r="J50" s="48">
        <f>H49*FourthFloor[[#This Row],[Y-Axis]]-I49*FourthFloor[[#This Row],[X-Axis]]</f>
        <v>0</v>
      </c>
      <c r="L50" s="37">
        <v>15</v>
      </c>
      <c r="M50" s="34"/>
      <c r="N50" s="35"/>
      <c r="O50" s="55"/>
      <c r="P50" s="37">
        <f>OverlapFourthFloor[[#This Row],[Unit Change]]+$B$33*2</f>
        <v>0</v>
      </c>
      <c r="Q50" s="37" t="str">
        <f>_xlfn.IFNA(IF(OverlapFourthFloor[[#This Row],[Custom Angular Direction]]="",INDEX(Direction[Degree],MATCH(OverlapFourthFloor[[#This Row],[Direction]],Direction[Direction],0)),OverlapFourthFloor[[#This Row],[Custom Angular Direction]]),"")</f>
        <v/>
      </c>
      <c r="R50" s="48">
        <f>IFERROR(IF(COS(RADIANS(OverlapFourthFloor[[#This Row],[Angular Direction]]))*OverlapFourthFloor[[#This Row],[Unit Change]]=0,R49,R49+COS(RADIANS(OverlapFourthFloor[[#This Row],[Angular Direction]]))*OverlapFourthFloor[[#This Row],[Unit Change]]),$R$35)</f>
        <v>0</v>
      </c>
      <c r="S50" s="48">
        <f>IFERROR(IF(SIN(RADIANS(OverlapFourthFloor[[#This Row],[Angular Direction]]))*OverlapFourthFloor[[#This Row],[Unit Change]]=0,S49,S49+SIN(RADIANS(OverlapFourthFloor[[#This Row],[Angular Direction]]))*OverlapFourthFloor[[#This Row],[Unit Change]]),$S$35)</f>
        <v>0</v>
      </c>
      <c r="T50" s="48">
        <f>R49*OverlapFourthFloor[[#This Row],[Y-Axis]]-S49*OverlapFourthFloor[[#This Row],[X-Axis]]</f>
        <v>0</v>
      </c>
    </row>
    <row r="51" spans="1:20" x14ac:dyDescent="0.45">
      <c r="A51" s="37">
        <v>16</v>
      </c>
      <c r="B51" s="34"/>
      <c r="C51" s="35"/>
      <c r="D51" s="34"/>
      <c r="E51" s="34"/>
      <c r="F51" s="37">
        <f>FourthFloor[[#This Row],[Unit Change]]+$B$33*2</f>
        <v>0</v>
      </c>
      <c r="G51" s="37" t="str">
        <f>_xlfn.IFNA(IF(FourthFloor[[#This Row],[Custom Angular Direction]]="",INDEX(Direction[Degree],MATCH(FourthFloor[[#This Row],[Direction]],Direction[Direction],0)),FourthFloor[[#This Row],[Custom Angular Direction]]),"")</f>
        <v/>
      </c>
      <c r="H51" s="48">
        <f>IFERROR(IF(COS(RADIANS(FourthFloor[[#This Row],[Angular Direction]]))*FourthFloor[[#This Row],[Unit Change]]=0,H50,H50+COS(RADIANS(FourthFloor[[#This Row],[Angular Direction]]))*FourthFloor[[#This Row],[Unit Change]]),$H$35)</f>
        <v>0</v>
      </c>
      <c r="I51" s="48">
        <f>IFERROR(IF(SIN(RADIANS(FourthFloor[[#This Row],[Angular Direction]]))*FourthFloor[[#This Row],[Unit Change]]=0,I50,I50+SIN(RADIANS(FourthFloor[[#This Row],[Angular Direction]]))*FourthFloor[[#This Row],[Unit Change]]),$I$35)</f>
        <v>0</v>
      </c>
      <c r="J51" s="48">
        <f>H50*FourthFloor[[#This Row],[Y-Axis]]-I50*FourthFloor[[#This Row],[X-Axis]]</f>
        <v>0</v>
      </c>
      <c r="L51" s="37">
        <v>16</v>
      </c>
      <c r="M51" s="34"/>
      <c r="N51" s="35"/>
      <c r="O51" s="55"/>
      <c r="P51" s="37">
        <f>OverlapFourthFloor[[#This Row],[Unit Change]]+$B$33*2</f>
        <v>0</v>
      </c>
      <c r="Q51" s="37" t="str">
        <f>_xlfn.IFNA(IF(OverlapFourthFloor[[#This Row],[Custom Angular Direction]]="",INDEX(Direction[Degree],MATCH(OverlapFourthFloor[[#This Row],[Direction]],Direction[Direction],0)),OverlapFourthFloor[[#This Row],[Custom Angular Direction]]),"")</f>
        <v/>
      </c>
      <c r="R51" s="48">
        <f>IFERROR(IF(COS(RADIANS(OverlapFourthFloor[[#This Row],[Angular Direction]]))*OverlapFourthFloor[[#This Row],[Unit Change]]=0,R50,R50+COS(RADIANS(OverlapFourthFloor[[#This Row],[Angular Direction]]))*OverlapFourthFloor[[#This Row],[Unit Change]]),$R$35)</f>
        <v>0</v>
      </c>
      <c r="S51" s="48">
        <f>IFERROR(IF(SIN(RADIANS(OverlapFourthFloor[[#This Row],[Angular Direction]]))*OverlapFourthFloor[[#This Row],[Unit Change]]=0,S50,S50+SIN(RADIANS(OverlapFourthFloor[[#This Row],[Angular Direction]]))*OverlapFourthFloor[[#This Row],[Unit Change]]),$S$35)</f>
        <v>0</v>
      </c>
      <c r="T51" s="48">
        <f>R50*OverlapFourthFloor[[#This Row],[Y-Axis]]-S50*OverlapFourthFloor[[#This Row],[X-Axis]]</f>
        <v>0</v>
      </c>
    </row>
    <row r="52" spans="1:20" x14ac:dyDescent="0.45">
      <c r="A52" s="37">
        <v>17</v>
      </c>
      <c r="B52" s="34"/>
      <c r="C52" s="35"/>
      <c r="D52" s="34"/>
      <c r="E52" s="34"/>
      <c r="F52" s="37">
        <f>FourthFloor[[#This Row],[Unit Change]]+$B$33*2</f>
        <v>0</v>
      </c>
      <c r="G52" s="37" t="str">
        <f>_xlfn.IFNA(IF(FourthFloor[[#This Row],[Custom Angular Direction]]="",INDEX(Direction[Degree],MATCH(FourthFloor[[#This Row],[Direction]],Direction[Direction],0)),FourthFloor[[#This Row],[Custom Angular Direction]]),"")</f>
        <v/>
      </c>
      <c r="H52" s="48">
        <f>IFERROR(IF(COS(RADIANS(FourthFloor[[#This Row],[Angular Direction]]))*FourthFloor[[#This Row],[Unit Change]]=0,H51,H51+COS(RADIANS(FourthFloor[[#This Row],[Angular Direction]]))*FourthFloor[[#This Row],[Unit Change]]),$H$35)</f>
        <v>0</v>
      </c>
      <c r="I52" s="48">
        <f>IFERROR(IF(SIN(RADIANS(FourthFloor[[#This Row],[Angular Direction]]))*FourthFloor[[#This Row],[Unit Change]]=0,I51,I51+SIN(RADIANS(FourthFloor[[#This Row],[Angular Direction]]))*FourthFloor[[#This Row],[Unit Change]]),$I$35)</f>
        <v>0</v>
      </c>
      <c r="J52" s="48">
        <f>H51*FourthFloor[[#This Row],[Y-Axis]]-I51*FourthFloor[[#This Row],[X-Axis]]</f>
        <v>0</v>
      </c>
      <c r="L52" s="37">
        <v>17</v>
      </c>
      <c r="M52" s="34"/>
      <c r="N52" s="35"/>
      <c r="O52" s="55"/>
      <c r="P52" s="37">
        <f>OverlapFourthFloor[[#This Row],[Unit Change]]+$B$33*2</f>
        <v>0</v>
      </c>
      <c r="Q52" s="37" t="str">
        <f>_xlfn.IFNA(IF(OverlapFourthFloor[[#This Row],[Custom Angular Direction]]="",INDEX(Direction[Degree],MATCH(OverlapFourthFloor[[#This Row],[Direction]],Direction[Direction],0)),OverlapFourthFloor[[#This Row],[Custom Angular Direction]]),"")</f>
        <v/>
      </c>
      <c r="R52" s="48">
        <f>IFERROR(IF(COS(RADIANS(OverlapFourthFloor[[#This Row],[Angular Direction]]))*OverlapFourthFloor[[#This Row],[Unit Change]]=0,R51,R51+COS(RADIANS(OverlapFourthFloor[[#This Row],[Angular Direction]]))*OverlapFourthFloor[[#This Row],[Unit Change]]),$R$35)</f>
        <v>0</v>
      </c>
      <c r="S52" s="48">
        <f>IFERROR(IF(SIN(RADIANS(OverlapFourthFloor[[#This Row],[Angular Direction]]))*OverlapFourthFloor[[#This Row],[Unit Change]]=0,S51,S51+SIN(RADIANS(OverlapFourthFloor[[#This Row],[Angular Direction]]))*OverlapFourthFloor[[#This Row],[Unit Change]]),$S$35)</f>
        <v>0</v>
      </c>
      <c r="T52" s="48">
        <f>R51*OverlapFourthFloor[[#This Row],[Y-Axis]]-S51*OverlapFourthFloor[[#This Row],[X-Axis]]</f>
        <v>0</v>
      </c>
    </row>
    <row r="53" spans="1:20" x14ac:dyDescent="0.45">
      <c r="A53" s="37">
        <v>18</v>
      </c>
      <c r="B53" s="34"/>
      <c r="C53" s="35"/>
      <c r="D53" s="34"/>
      <c r="E53" s="34"/>
      <c r="F53" s="37">
        <f>FourthFloor[[#This Row],[Unit Change]]+$B$33*2</f>
        <v>0</v>
      </c>
      <c r="G53" s="37" t="str">
        <f>_xlfn.IFNA(IF(FourthFloor[[#This Row],[Custom Angular Direction]]="",INDEX(Direction[Degree],MATCH(FourthFloor[[#This Row],[Direction]],Direction[Direction],0)),FourthFloor[[#This Row],[Custom Angular Direction]]),"")</f>
        <v/>
      </c>
      <c r="H53" s="48">
        <f>IFERROR(IF(COS(RADIANS(FourthFloor[[#This Row],[Angular Direction]]))*FourthFloor[[#This Row],[Unit Change]]=0,H52,H52+COS(RADIANS(FourthFloor[[#This Row],[Angular Direction]]))*FourthFloor[[#This Row],[Unit Change]]),$H$35)</f>
        <v>0</v>
      </c>
      <c r="I53" s="48">
        <f>IFERROR(IF(SIN(RADIANS(FourthFloor[[#This Row],[Angular Direction]]))*FourthFloor[[#This Row],[Unit Change]]=0,I52,I52+SIN(RADIANS(FourthFloor[[#This Row],[Angular Direction]]))*FourthFloor[[#This Row],[Unit Change]]),$I$35)</f>
        <v>0</v>
      </c>
      <c r="J53" s="48">
        <f>H52*FourthFloor[[#This Row],[Y-Axis]]-I52*FourthFloor[[#This Row],[X-Axis]]</f>
        <v>0</v>
      </c>
      <c r="L53" s="37">
        <v>18</v>
      </c>
      <c r="M53" s="34"/>
      <c r="N53" s="35"/>
      <c r="O53" s="55"/>
      <c r="P53" s="37">
        <f>OverlapFourthFloor[[#This Row],[Unit Change]]+$B$33*2</f>
        <v>0</v>
      </c>
      <c r="Q53" s="37" t="str">
        <f>_xlfn.IFNA(IF(OverlapFourthFloor[[#This Row],[Custom Angular Direction]]="",INDEX(Direction[Degree],MATCH(OverlapFourthFloor[[#This Row],[Direction]],Direction[Direction],0)),OverlapFourthFloor[[#This Row],[Custom Angular Direction]]),"")</f>
        <v/>
      </c>
      <c r="R53" s="48">
        <f>IFERROR(IF(COS(RADIANS(OverlapFourthFloor[[#This Row],[Angular Direction]]))*OverlapFourthFloor[[#This Row],[Unit Change]]=0,R52,R52+COS(RADIANS(OverlapFourthFloor[[#This Row],[Angular Direction]]))*OverlapFourthFloor[[#This Row],[Unit Change]]),$R$35)</f>
        <v>0</v>
      </c>
      <c r="S53" s="48">
        <f>IFERROR(IF(SIN(RADIANS(OverlapFourthFloor[[#This Row],[Angular Direction]]))*OverlapFourthFloor[[#This Row],[Unit Change]]=0,S52,S52+SIN(RADIANS(OverlapFourthFloor[[#This Row],[Angular Direction]]))*OverlapFourthFloor[[#This Row],[Unit Change]]),$S$35)</f>
        <v>0</v>
      </c>
      <c r="T53" s="48">
        <f>R52*OverlapFourthFloor[[#This Row],[Y-Axis]]-S52*OverlapFourthFloor[[#This Row],[X-Axis]]</f>
        <v>0</v>
      </c>
    </row>
    <row r="54" spans="1:20" x14ac:dyDescent="0.45">
      <c r="A54" s="37">
        <v>19</v>
      </c>
      <c r="B54" s="34"/>
      <c r="C54" s="35"/>
      <c r="D54" s="34"/>
      <c r="E54" s="34"/>
      <c r="F54" s="37">
        <f>FourthFloor[[#This Row],[Unit Change]]+$B$33*2</f>
        <v>0</v>
      </c>
      <c r="G54" s="37" t="str">
        <f>_xlfn.IFNA(IF(FourthFloor[[#This Row],[Custom Angular Direction]]="",INDEX(Direction[Degree],MATCH(FourthFloor[[#This Row],[Direction]],Direction[Direction],0)),FourthFloor[[#This Row],[Custom Angular Direction]]),"")</f>
        <v/>
      </c>
      <c r="H54" s="48">
        <f>IFERROR(IF(COS(RADIANS(FourthFloor[[#This Row],[Angular Direction]]))*FourthFloor[[#This Row],[Unit Change]]=0,H53,H53+COS(RADIANS(FourthFloor[[#This Row],[Angular Direction]]))*FourthFloor[[#This Row],[Unit Change]]),$H$35)</f>
        <v>0</v>
      </c>
      <c r="I54" s="48">
        <f>IFERROR(IF(SIN(RADIANS(FourthFloor[[#This Row],[Angular Direction]]))*FourthFloor[[#This Row],[Unit Change]]=0,I53,I53+SIN(RADIANS(FourthFloor[[#This Row],[Angular Direction]]))*FourthFloor[[#This Row],[Unit Change]]),$I$35)</f>
        <v>0</v>
      </c>
      <c r="J54" s="48">
        <f>H53*FourthFloor[[#This Row],[Y-Axis]]-I53*FourthFloor[[#This Row],[X-Axis]]</f>
        <v>0</v>
      </c>
      <c r="L54" s="37">
        <v>19</v>
      </c>
      <c r="M54" s="34"/>
      <c r="N54" s="35"/>
      <c r="O54" s="55"/>
      <c r="P54" s="37">
        <f>OverlapFourthFloor[[#This Row],[Unit Change]]+$B$33*2</f>
        <v>0</v>
      </c>
      <c r="Q54" s="37" t="str">
        <f>_xlfn.IFNA(IF(OverlapFourthFloor[[#This Row],[Custom Angular Direction]]="",INDEX(Direction[Degree],MATCH(OverlapFourthFloor[[#This Row],[Direction]],Direction[Direction],0)),OverlapFourthFloor[[#This Row],[Custom Angular Direction]]),"")</f>
        <v/>
      </c>
      <c r="R54" s="48">
        <f>IFERROR(IF(COS(RADIANS(OverlapFourthFloor[[#This Row],[Angular Direction]]))*OverlapFourthFloor[[#This Row],[Unit Change]]=0,R53,R53+COS(RADIANS(OverlapFourthFloor[[#This Row],[Angular Direction]]))*OverlapFourthFloor[[#This Row],[Unit Change]]),$R$35)</f>
        <v>0</v>
      </c>
      <c r="S54" s="48">
        <f>IFERROR(IF(SIN(RADIANS(OverlapFourthFloor[[#This Row],[Angular Direction]]))*OverlapFourthFloor[[#This Row],[Unit Change]]=0,S53,S53+SIN(RADIANS(OverlapFourthFloor[[#This Row],[Angular Direction]]))*OverlapFourthFloor[[#This Row],[Unit Change]]),$S$35)</f>
        <v>0</v>
      </c>
      <c r="T54" s="48">
        <f>R53*OverlapFourthFloor[[#This Row],[Y-Axis]]-S53*OverlapFourthFloor[[#This Row],[X-Axis]]</f>
        <v>0</v>
      </c>
    </row>
    <row r="55" spans="1:20" x14ac:dyDescent="0.45">
      <c r="A55" s="37">
        <v>20</v>
      </c>
      <c r="B55" s="34"/>
      <c r="C55" s="35"/>
      <c r="D55" s="34"/>
      <c r="E55" s="34"/>
      <c r="F55" s="37">
        <f>FourthFloor[[#This Row],[Unit Change]]+$B$33*2</f>
        <v>0</v>
      </c>
      <c r="G55" s="37" t="str">
        <f>_xlfn.IFNA(IF(FourthFloor[[#This Row],[Custom Angular Direction]]="",INDEX(Direction[Degree],MATCH(FourthFloor[[#This Row],[Direction]],Direction[Direction],0)),FourthFloor[[#This Row],[Custom Angular Direction]]),"")</f>
        <v/>
      </c>
      <c r="H55" s="48">
        <f>IFERROR(IF(COS(RADIANS(FourthFloor[[#This Row],[Angular Direction]]))*FourthFloor[[#This Row],[Unit Change]]=0,H54,H54+COS(RADIANS(FourthFloor[[#This Row],[Angular Direction]]))*FourthFloor[[#This Row],[Unit Change]]),$H$35)</f>
        <v>0</v>
      </c>
      <c r="I55" s="48">
        <f>IFERROR(IF(SIN(RADIANS(FourthFloor[[#This Row],[Angular Direction]]))*FourthFloor[[#This Row],[Unit Change]]=0,I54,I54+SIN(RADIANS(FourthFloor[[#This Row],[Angular Direction]]))*FourthFloor[[#This Row],[Unit Change]]),$I$35)</f>
        <v>0</v>
      </c>
      <c r="J55" s="48">
        <f>H54*FourthFloor[[#This Row],[Y-Axis]]-I54*FourthFloor[[#This Row],[X-Axis]]</f>
        <v>0</v>
      </c>
      <c r="L55" s="37">
        <v>20</v>
      </c>
      <c r="M55" s="34"/>
      <c r="N55" s="35"/>
      <c r="O55" s="55"/>
      <c r="P55" s="37">
        <f>OverlapFourthFloor[[#This Row],[Unit Change]]+$B$33*2</f>
        <v>0</v>
      </c>
      <c r="Q55" s="37" t="str">
        <f>_xlfn.IFNA(IF(OverlapFourthFloor[[#This Row],[Custom Angular Direction]]="",INDEX(Direction[Degree],MATCH(OverlapFourthFloor[[#This Row],[Direction]],Direction[Direction],0)),OverlapFourthFloor[[#This Row],[Custom Angular Direction]]),"")</f>
        <v/>
      </c>
      <c r="R55" s="48">
        <f>IFERROR(IF(COS(RADIANS(OverlapFourthFloor[[#This Row],[Angular Direction]]))*OverlapFourthFloor[[#This Row],[Unit Change]]=0,R54,R54+COS(RADIANS(OverlapFourthFloor[[#This Row],[Angular Direction]]))*OverlapFourthFloor[[#This Row],[Unit Change]]),$R$35)</f>
        <v>0</v>
      </c>
      <c r="S55" s="48">
        <f>IFERROR(IF(SIN(RADIANS(OverlapFourthFloor[[#This Row],[Angular Direction]]))*OverlapFourthFloor[[#This Row],[Unit Change]]=0,S54,S54+SIN(RADIANS(OverlapFourthFloor[[#This Row],[Angular Direction]]))*OverlapFourthFloor[[#This Row],[Unit Change]]),$S$35)</f>
        <v>0</v>
      </c>
      <c r="T55" s="48">
        <f>R54*OverlapFourthFloor[[#This Row],[Y-Axis]]-S54*OverlapFourthFloor[[#This Row],[X-Axis]]</f>
        <v>0</v>
      </c>
    </row>
    <row r="56" spans="1:20" x14ac:dyDescent="0.45">
      <c r="A56" s="37">
        <v>21</v>
      </c>
      <c r="B56" s="34"/>
      <c r="C56" s="35"/>
      <c r="D56" s="34"/>
      <c r="E56" s="34"/>
      <c r="F56" s="37">
        <f>FourthFloor[[#This Row],[Unit Change]]+$B$33*2</f>
        <v>0</v>
      </c>
      <c r="G56" s="37" t="str">
        <f>_xlfn.IFNA(IF(FourthFloor[[#This Row],[Custom Angular Direction]]="",INDEX(Direction[Degree],MATCH(FourthFloor[[#This Row],[Direction]],Direction[Direction],0)),FourthFloor[[#This Row],[Custom Angular Direction]]),"")</f>
        <v/>
      </c>
      <c r="H56" s="48">
        <f>IFERROR(IF(COS(RADIANS(FourthFloor[[#This Row],[Angular Direction]]))*FourthFloor[[#This Row],[Unit Change]]=0,H55,H55+COS(RADIANS(FourthFloor[[#This Row],[Angular Direction]]))*FourthFloor[[#This Row],[Unit Change]]),$H$35)</f>
        <v>0</v>
      </c>
      <c r="I56" s="48">
        <f>IFERROR(IF(SIN(RADIANS(FourthFloor[[#This Row],[Angular Direction]]))*FourthFloor[[#This Row],[Unit Change]]=0,I55,I55+SIN(RADIANS(FourthFloor[[#This Row],[Angular Direction]]))*FourthFloor[[#This Row],[Unit Change]]),$I$35)</f>
        <v>0</v>
      </c>
      <c r="J56" s="48">
        <f>H55*FourthFloor[[#This Row],[Y-Axis]]-I55*FourthFloor[[#This Row],[X-Axis]]</f>
        <v>0</v>
      </c>
      <c r="L56" s="37">
        <v>21</v>
      </c>
      <c r="M56" s="34"/>
      <c r="N56" s="35"/>
      <c r="O56" s="55"/>
      <c r="P56" s="37">
        <f>OverlapFourthFloor[[#This Row],[Unit Change]]+$B$33*2</f>
        <v>0</v>
      </c>
      <c r="Q56" s="37" t="str">
        <f>_xlfn.IFNA(IF(OverlapFourthFloor[[#This Row],[Custom Angular Direction]]="",INDEX(Direction[Degree],MATCH(OverlapFourthFloor[[#This Row],[Direction]],Direction[Direction],0)),OverlapFourthFloor[[#This Row],[Custom Angular Direction]]),"")</f>
        <v/>
      </c>
      <c r="R56" s="48">
        <f>IFERROR(IF(COS(RADIANS(OverlapFourthFloor[[#This Row],[Angular Direction]]))*OverlapFourthFloor[[#This Row],[Unit Change]]=0,R55,R55+COS(RADIANS(OverlapFourthFloor[[#This Row],[Angular Direction]]))*OverlapFourthFloor[[#This Row],[Unit Change]]),$R$35)</f>
        <v>0</v>
      </c>
      <c r="S56" s="48">
        <f>IFERROR(IF(SIN(RADIANS(OverlapFourthFloor[[#This Row],[Angular Direction]]))*OverlapFourthFloor[[#This Row],[Unit Change]]=0,S55,S55+SIN(RADIANS(OverlapFourthFloor[[#This Row],[Angular Direction]]))*OverlapFourthFloor[[#This Row],[Unit Change]]),$S$35)</f>
        <v>0</v>
      </c>
      <c r="T56" s="48">
        <f>R55*OverlapFourthFloor[[#This Row],[Y-Axis]]-S55*OverlapFourthFloor[[#This Row],[X-Axis]]</f>
        <v>0</v>
      </c>
    </row>
    <row r="57" spans="1:20" x14ac:dyDescent="0.45">
      <c r="A57" s="37">
        <v>22</v>
      </c>
      <c r="B57" s="34"/>
      <c r="C57" s="35"/>
      <c r="D57" s="34"/>
      <c r="E57" s="34"/>
      <c r="F57" s="37">
        <f>FourthFloor[[#This Row],[Unit Change]]+$B$33*2</f>
        <v>0</v>
      </c>
      <c r="G57" s="37" t="str">
        <f>_xlfn.IFNA(IF(FourthFloor[[#This Row],[Custom Angular Direction]]="",INDEX(Direction[Degree],MATCH(FourthFloor[[#This Row],[Direction]],Direction[Direction],0)),FourthFloor[[#This Row],[Custom Angular Direction]]),"")</f>
        <v/>
      </c>
      <c r="H57" s="48">
        <f>IFERROR(IF(COS(RADIANS(FourthFloor[[#This Row],[Angular Direction]]))*FourthFloor[[#This Row],[Unit Change]]=0,H56,H56+COS(RADIANS(FourthFloor[[#This Row],[Angular Direction]]))*FourthFloor[[#This Row],[Unit Change]]),$H$35)</f>
        <v>0</v>
      </c>
      <c r="I57" s="48">
        <f>IFERROR(IF(SIN(RADIANS(FourthFloor[[#This Row],[Angular Direction]]))*FourthFloor[[#This Row],[Unit Change]]=0,I56,I56+SIN(RADIANS(FourthFloor[[#This Row],[Angular Direction]]))*FourthFloor[[#This Row],[Unit Change]]),$I$35)</f>
        <v>0</v>
      </c>
      <c r="J57" s="48">
        <f>H56*FourthFloor[[#This Row],[Y-Axis]]-I56*FourthFloor[[#This Row],[X-Axis]]</f>
        <v>0</v>
      </c>
      <c r="L57" s="37">
        <v>22</v>
      </c>
      <c r="M57" s="34"/>
      <c r="N57" s="35"/>
      <c r="O57" s="55"/>
      <c r="P57" s="37">
        <f>OverlapFourthFloor[[#This Row],[Unit Change]]+$B$33*2</f>
        <v>0</v>
      </c>
      <c r="Q57" s="37" t="str">
        <f>_xlfn.IFNA(IF(OverlapFourthFloor[[#This Row],[Custom Angular Direction]]="",INDEX(Direction[Degree],MATCH(OverlapFourthFloor[[#This Row],[Direction]],Direction[Direction],0)),OverlapFourthFloor[[#This Row],[Custom Angular Direction]]),"")</f>
        <v/>
      </c>
      <c r="R57" s="48">
        <f>IFERROR(IF(COS(RADIANS(OverlapFourthFloor[[#This Row],[Angular Direction]]))*OverlapFourthFloor[[#This Row],[Unit Change]]=0,R56,R56+COS(RADIANS(OverlapFourthFloor[[#This Row],[Angular Direction]]))*OverlapFourthFloor[[#This Row],[Unit Change]]),$R$35)</f>
        <v>0</v>
      </c>
      <c r="S57" s="48">
        <f>IFERROR(IF(SIN(RADIANS(OverlapFourthFloor[[#This Row],[Angular Direction]]))*OverlapFourthFloor[[#This Row],[Unit Change]]=0,S56,S56+SIN(RADIANS(OverlapFourthFloor[[#This Row],[Angular Direction]]))*OverlapFourthFloor[[#This Row],[Unit Change]]),$S$35)</f>
        <v>0</v>
      </c>
      <c r="T57" s="48">
        <f>R56*OverlapFourthFloor[[#This Row],[Y-Axis]]-S56*OverlapFourthFloor[[#This Row],[X-Axis]]</f>
        <v>0</v>
      </c>
    </row>
    <row r="58" spans="1:20" x14ac:dyDescent="0.45">
      <c r="A58" s="37">
        <v>23</v>
      </c>
      <c r="B58" s="34"/>
      <c r="C58" s="35"/>
      <c r="D58" s="34"/>
      <c r="E58" s="34"/>
      <c r="F58" s="37">
        <f>FourthFloor[[#This Row],[Unit Change]]+$B$33*2</f>
        <v>0</v>
      </c>
      <c r="G58" s="37" t="str">
        <f>_xlfn.IFNA(IF(FourthFloor[[#This Row],[Custom Angular Direction]]="",INDEX(Direction[Degree],MATCH(FourthFloor[[#This Row],[Direction]],Direction[Direction],0)),FourthFloor[[#This Row],[Custom Angular Direction]]),"")</f>
        <v/>
      </c>
      <c r="H58" s="48">
        <f>IFERROR(IF(COS(RADIANS(FourthFloor[[#This Row],[Angular Direction]]))*FourthFloor[[#This Row],[Unit Change]]=0,H57,H57+COS(RADIANS(FourthFloor[[#This Row],[Angular Direction]]))*FourthFloor[[#This Row],[Unit Change]]),$H$35)</f>
        <v>0</v>
      </c>
      <c r="I58" s="48">
        <f>IFERROR(IF(SIN(RADIANS(FourthFloor[[#This Row],[Angular Direction]]))*FourthFloor[[#This Row],[Unit Change]]=0,I57,I57+SIN(RADIANS(FourthFloor[[#This Row],[Angular Direction]]))*FourthFloor[[#This Row],[Unit Change]]),$I$35)</f>
        <v>0</v>
      </c>
      <c r="J58" s="48">
        <f>H57*FourthFloor[[#This Row],[Y-Axis]]-I57*FourthFloor[[#This Row],[X-Axis]]</f>
        <v>0</v>
      </c>
      <c r="L58" s="37">
        <v>23</v>
      </c>
      <c r="M58" s="34"/>
      <c r="N58" s="35"/>
      <c r="O58" s="55"/>
      <c r="P58" s="37">
        <f>OverlapFourthFloor[[#This Row],[Unit Change]]+$B$33*2</f>
        <v>0</v>
      </c>
      <c r="Q58" s="37" t="str">
        <f>_xlfn.IFNA(IF(OverlapFourthFloor[[#This Row],[Custom Angular Direction]]="",INDEX(Direction[Degree],MATCH(OverlapFourthFloor[[#This Row],[Direction]],Direction[Direction],0)),OverlapFourthFloor[[#This Row],[Custom Angular Direction]]),"")</f>
        <v/>
      </c>
      <c r="R58" s="48">
        <f>IFERROR(IF(COS(RADIANS(OverlapFourthFloor[[#This Row],[Angular Direction]]))*OverlapFourthFloor[[#This Row],[Unit Change]]=0,R57,R57+COS(RADIANS(OverlapFourthFloor[[#This Row],[Angular Direction]]))*OverlapFourthFloor[[#This Row],[Unit Change]]),$R$35)</f>
        <v>0</v>
      </c>
      <c r="S58" s="48">
        <f>IFERROR(IF(SIN(RADIANS(OverlapFourthFloor[[#This Row],[Angular Direction]]))*OverlapFourthFloor[[#This Row],[Unit Change]]=0,S57,S57+SIN(RADIANS(OverlapFourthFloor[[#This Row],[Angular Direction]]))*OverlapFourthFloor[[#This Row],[Unit Change]]),$S$35)</f>
        <v>0</v>
      </c>
      <c r="T58" s="48">
        <f>R57*OverlapFourthFloor[[#This Row],[Y-Axis]]-S57*OverlapFourthFloor[[#This Row],[X-Axis]]</f>
        <v>0</v>
      </c>
    </row>
    <row r="59" spans="1:20" x14ac:dyDescent="0.45">
      <c r="A59" s="37">
        <v>24</v>
      </c>
      <c r="B59" s="34"/>
      <c r="C59" s="35"/>
      <c r="D59" s="34"/>
      <c r="E59" s="34"/>
      <c r="F59" s="37">
        <f>FourthFloor[[#This Row],[Unit Change]]+$B$33*2</f>
        <v>0</v>
      </c>
      <c r="G59" s="37" t="str">
        <f>_xlfn.IFNA(IF(FourthFloor[[#This Row],[Custom Angular Direction]]="",INDEX(Direction[Degree],MATCH(FourthFloor[[#This Row],[Direction]],Direction[Direction],0)),FourthFloor[[#This Row],[Custom Angular Direction]]),"")</f>
        <v/>
      </c>
      <c r="H59" s="48">
        <f>IFERROR(IF(COS(RADIANS(FourthFloor[[#This Row],[Angular Direction]]))*FourthFloor[[#This Row],[Unit Change]]=0,H58,H58+COS(RADIANS(FourthFloor[[#This Row],[Angular Direction]]))*FourthFloor[[#This Row],[Unit Change]]),$H$35)</f>
        <v>0</v>
      </c>
      <c r="I59" s="48">
        <f>IFERROR(IF(SIN(RADIANS(FourthFloor[[#This Row],[Angular Direction]]))*FourthFloor[[#This Row],[Unit Change]]=0,I58,I58+SIN(RADIANS(FourthFloor[[#This Row],[Angular Direction]]))*FourthFloor[[#This Row],[Unit Change]]),$I$35)</f>
        <v>0</v>
      </c>
      <c r="J59" s="48">
        <f>H58*FourthFloor[[#This Row],[Y-Axis]]-I58*FourthFloor[[#This Row],[X-Axis]]</f>
        <v>0</v>
      </c>
      <c r="L59" s="37">
        <v>24</v>
      </c>
      <c r="M59" s="34"/>
      <c r="N59" s="35"/>
      <c r="O59" s="55"/>
      <c r="P59" s="37">
        <f>OverlapFourthFloor[[#This Row],[Unit Change]]+$B$33*2</f>
        <v>0</v>
      </c>
      <c r="Q59" s="37" t="str">
        <f>_xlfn.IFNA(IF(OverlapFourthFloor[[#This Row],[Custom Angular Direction]]="",INDEX(Direction[Degree],MATCH(OverlapFourthFloor[[#This Row],[Direction]],Direction[Direction],0)),OverlapFourthFloor[[#This Row],[Custom Angular Direction]]),"")</f>
        <v/>
      </c>
      <c r="R59" s="48">
        <f>IFERROR(IF(COS(RADIANS(OverlapFourthFloor[[#This Row],[Angular Direction]]))*OverlapFourthFloor[[#This Row],[Unit Change]]=0,R58,R58+COS(RADIANS(OverlapFourthFloor[[#This Row],[Angular Direction]]))*OverlapFourthFloor[[#This Row],[Unit Change]]),$R$35)</f>
        <v>0</v>
      </c>
      <c r="S59" s="48">
        <f>IFERROR(IF(SIN(RADIANS(OverlapFourthFloor[[#This Row],[Angular Direction]]))*OverlapFourthFloor[[#This Row],[Unit Change]]=0,S58,S58+SIN(RADIANS(OverlapFourthFloor[[#This Row],[Angular Direction]]))*OverlapFourthFloor[[#This Row],[Unit Change]]),$S$35)</f>
        <v>0</v>
      </c>
      <c r="T59" s="48">
        <f>R58*OverlapFourthFloor[[#This Row],[Y-Axis]]-S58*OverlapFourthFloor[[#This Row],[X-Axis]]</f>
        <v>0</v>
      </c>
    </row>
    <row r="60" spans="1:20" x14ac:dyDescent="0.45">
      <c r="A60" s="37">
        <v>25</v>
      </c>
      <c r="B60" s="34"/>
      <c r="C60" s="35"/>
      <c r="D60" s="34"/>
      <c r="E60" s="34"/>
      <c r="F60" s="37">
        <f>FourthFloor[[#This Row],[Unit Change]]+$B$33*2</f>
        <v>0</v>
      </c>
      <c r="G60" s="37" t="str">
        <f>_xlfn.IFNA(IF(FourthFloor[[#This Row],[Custom Angular Direction]]="",INDEX(Direction[Degree],MATCH(FourthFloor[[#This Row],[Direction]],Direction[Direction],0)),FourthFloor[[#This Row],[Custom Angular Direction]]),"")</f>
        <v/>
      </c>
      <c r="H60" s="48">
        <f>IFERROR(IF(COS(RADIANS(FourthFloor[[#This Row],[Angular Direction]]))*FourthFloor[[#This Row],[Unit Change]]=0,H59,H59+COS(RADIANS(FourthFloor[[#This Row],[Angular Direction]]))*FourthFloor[[#This Row],[Unit Change]]),$H$35)</f>
        <v>0</v>
      </c>
      <c r="I60" s="48">
        <f>IFERROR(IF(SIN(RADIANS(FourthFloor[[#This Row],[Angular Direction]]))*FourthFloor[[#This Row],[Unit Change]]=0,I59,I59+SIN(RADIANS(FourthFloor[[#This Row],[Angular Direction]]))*FourthFloor[[#This Row],[Unit Change]]),$I$35)</f>
        <v>0</v>
      </c>
      <c r="J60" s="48">
        <f>H59*FourthFloor[[#This Row],[Y-Axis]]-I59*FourthFloor[[#This Row],[X-Axis]]</f>
        <v>0</v>
      </c>
      <c r="L60" s="37">
        <v>25</v>
      </c>
      <c r="M60" s="34"/>
      <c r="N60" s="35"/>
      <c r="O60" s="55"/>
      <c r="P60" s="37">
        <f>OverlapFourthFloor[[#This Row],[Unit Change]]+$B$33*2</f>
        <v>0</v>
      </c>
      <c r="Q60" s="37" t="str">
        <f>_xlfn.IFNA(IF(OverlapFourthFloor[[#This Row],[Custom Angular Direction]]="",INDEX(Direction[Degree],MATCH(OverlapFourthFloor[[#This Row],[Direction]],Direction[Direction],0)),OverlapFourthFloor[[#This Row],[Custom Angular Direction]]),"")</f>
        <v/>
      </c>
      <c r="R60" s="48">
        <f>IFERROR(IF(COS(RADIANS(OverlapFourthFloor[[#This Row],[Angular Direction]]))*OverlapFourthFloor[[#This Row],[Unit Change]]=0,R59,R59+COS(RADIANS(OverlapFourthFloor[[#This Row],[Angular Direction]]))*OverlapFourthFloor[[#This Row],[Unit Change]]),$R$35)</f>
        <v>0</v>
      </c>
      <c r="S60" s="48">
        <f>IFERROR(IF(SIN(RADIANS(OverlapFourthFloor[[#This Row],[Angular Direction]]))*OverlapFourthFloor[[#This Row],[Unit Change]]=0,S59,S59+SIN(RADIANS(OverlapFourthFloor[[#This Row],[Angular Direction]]))*OverlapFourthFloor[[#This Row],[Unit Change]]),$S$35)</f>
        <v>0</v>
      </c>
      <c r="T60" s="48">
        <f>R59*OverlapFourthFloor[[#This Row],[Y-Axis]]-S59*OverlapFourthFloor[[#This Row],[X-Axis]]</f>
        <v>0</v>
      </c>
    </row>
    <row r="61" spans="1:20" x14ac:dyDescent="0.45">
      <c r="A61" s="37">
        <v>26</v>
      </c>
      <c r="B61" s="34"/>
      <c r="C61" s="35"/>
      <c r="D61" s="34"/>
      <c r="E61" s="34"/>
      <c r="F61" s="37">
        <f>FourthFloor[[#This Row],[Unit Change]]+$B$33*2</f>
        <v>0</v>
      </c>
      <c r="G61" s="37" t="str">
        <f>_xlfn.IFNA(IF(FourthFloor[[#This Row],[Custom Angular Direction]]="",INDEX(Direction[Degree],MATCH(FourthFloor[[#This Row],[Direction]],Direction[Direction],0)),FourthFloor[[#This Row],[Custom Angular Direction]]),"")</f>
        <v/>
      </c>
      <c r="H61" s="48">
        <f>IFERROR(IF(COS(RADIANS(FourthFloor[[#This Row],[Angular Direction]]))*FourthFloor[[#This Row],[Unit Change]]=0,H60,H60+COS(RADIANS(FourthFloor[[#This Row],[Angular Direction]]))*FourthFloor[[#This Row],[Unit Change]]),$H$35)</f>
        <v>0</v>
      </c>
      <c r="I61" s="48">
        <f>IFERROR(IF(SIN(RADIANS(FourthFloor[[#This Row],[Angular Direction]]))*FourthFloor[[#This Row],[Unit Change]]=0,I60,I60+SIN(RADIANS(FourthFloor[[#This Row],[Angular Direction]]))*FourthFloor[[#This Row],[Unit Change]]),$I$35)</f>
        <v>0</v>
      </c>
      <c r="J61" s="48">
        <f>H60*FourthFloor[[#This Row],[Y-Axis]]-I60*FourthFloor[[#This Row],[X-Axis]]</f>
        <v>0</v>
      </c>
      <c r="L61" s="37">
        <v>26</v>
      </c>
      <c r="M61" s="34"/>
      <c r="N61" s="35"/>
      <c r="O61" s="55"/>
      <c r="P61" s="37">
        <f>OverlapFourthFloor[[#This Row],[Unit Change]]+$B$33*2</f>
        <v>0</v>
      </c>
      <c r="Q61" s="37" t="str">
        <f>_xlfn.IFNA(IF(OverlapFourthFloor[[#This Row],[Custom Angular Direction]]="",INDEX(Direction[Degree],MATCH(OverlapFourthFloor[[#This Row],[Direction]],Direction[Direction],0)),OverlapFourthFloor[[#This Row],[Custom Angular Direction]]),"")</f>
        <v/>
      </c>
      <c r="R61" s="48">
        <f>IFERROR(IF(COS(RADIANS(OverlapFourthFloor[[#This Row],[Angular Direction]]))*OverlapFourthFloor[[#This Row],[Unit Change]]=0,R60,R60+COS(RADIANS(OverlapFourthFloor[[#This Row],[Angular Direction]]))*OverlapFourthFloor[[#This Row],[Unit Change]]),$R$35)</f>
        <v>0</v>
      </c>
      <c r="S61" s="48">
        <f>IFERROR(IF(SIN(RADIANS(OverlapFourthFloor[[#This Row],[Angular Direction]]))*OverlapFourthFloor[[#This Row],[Unit Change]]=0,S60,S60+SIN(RADIANS(OverlapFourthFloor[[#This Row],[Angular Direction]]))*OverlapFourthFloor[[#This Row],[Unit Change]]),$S$35)</f>
        <v>0</v>
      </c>
      <c r="T61" s="48">
        <f>R60*OverlapFourthFloor[[#This Row],[Y-Axis]]-S60*OverlapFourthFloor[[#This Row],[X-Axis]]</f>
        <v>0</v>
      </c>
    </row>
    <row r="62" spans="1:20" x14ac:dyDescent="0.45">
      <c r="A62" s="37">
        <v>27</v>
      </c>
      <c r="B62" s="34"/>
      <c r="C62" s="35"/>
      <c r="D62" s="34"/>
      <c r="E62" s="34"/>
      <c r="F62" s="37">
        <f>FourthFloor[[#This Row],[Unit Change]]+$B$33*2</f>
        <v>0</v>
      </c>
      <c r="G62" s="37" t="str">
        <f>_xlfn.IFNA(IF(FourthFloor[[#This Row],[Custom Angular Direction]]="",INDEX(Direction[Degree],MATCH(FourthFloor[[#This Row],[Direction]],Direction[Direction],0)),FourthFloor[[#This Row],[Custom Angular Direction]]),"")</f>
        <v/>
      </c>
      <c r="H62" s="48">
        <f>IFERROR(IF(COS(RADIANS(FourthFloor[[#This Row],[Angular Direction]]))*FourthFloor[[#This Row],[Unit Change]]=0,H61,H61+COS(RADIANS(FourthFloor[[#This Row],[Angular Direction]]))*FourthFloor[[#This Row],[Unit Change]]),$H$35)</f>
        <v>0</v>
      </c>
      <c r="I62" s="48">
        <f>IFERROR(IF(SIN(RADIANS(FourthFloor[[#This Row],[Angular Direction]]))*FourthFloor[[#This Row],[Unit Change]]=0,I61,I61+SIN(RADIANS(FourthFloor[[#This Row],[Angular Direction]]))*FourthFloor[[#This Row],[Unit Change]]),$I$35)</f>
        <v>0</v>
      </c>
      <c r="J62" s="48">
        <f>H61*FourthFloor[[#This Row],[Y-Axis]]-I61*FourthFloor[[#This Row],[X-Axis]]</f>
        <v>0</v>
      </c>
      <c r="L62" s="37">
        <v>27</v>
      </c>
      <c r="M62" s="34"/>
      <c r="N62" s="35"/>
      <c r="O62" s="55"/>
      <c r="P62" s="37">
        <f>OverlapFourthFloor[[#This Row],[Unit Change]]+$B$33*2</f>
        <v>0</v>
      </c>
      <c r="Q62" s="37" t="str">
        <f>_xlfn.IFNA(IF(OverlapFourthFloor[[#This Row],[Custom Angular Direction]]="",INDEX(Direction[Degree],MATCH(OverlapFourthFloor[[#This Row],[Direction]],Direction[Direction],0)),OverlapFourthFloor[[#This Row],[Custom Angular Direction]]),"")</f>
        <v/>
      </c>
      <c r="R62" s="48">
        <f>IFERROR(IF(COS(RADIANS(OverlapFourthFloor[[#This Row],[Angular Direction]]))*OverlapFourthFloor[[#This Row],[Unit Change]]=0,R61,R61+COS(RADIANS(OverlapFourthFloor[[#This Row],[Angular Direction]]))*OverlapFourthFloor[[#This Row],[Unit Change]]),$R$35)</f>
        <v>0</v>
      </c>
      <c r="S62" s="48">
        <f>IFERROR(IF(SIN(RADIANS(OverlapFourthFloor[[#This Row],[Angular Direction]]))*OverlapFourthFloor[[#This Row],[Unit Change]]=0,S61,S61+SIN(RADIANS(OverlapFourthFloor[[#This Row],[Angular Direction]]))*OverlapFourthFloor[[#This Row],[Unit Change]]),$S$35)</f>
        <v>0</v>
      </c>
      <c r="T62" s="48">
        <f>R61*OverlapFourthFloor[[#This Row],[Y-Axis]]-S61*OverlapFourthFloor[[#This Row],[X-Axis]]</f>
        <v>0</v>
      </c>
    </row>
    <row r="63" spans="1:20" x14ac:dyDescent="0.45">
      <c r="A63" s="37">
        <v>28</v>
      </c>
      <c r="B63" s="34"/>
      <c r="C63" s="35"/>
      <c r="D63" s="34"/>
      <c r="E63" s="34"/>
      <c r="F63" s="37">
        <f>FourthFloor[[#This Row],[Unit Change]]+$B$33*2</f>
        <v>0</v>
      </c>
      <c r="G63" s="37" t="str">
        <f>_xlfn.IFNA(IF(FourthFloor[[#This Row],[Custom Angular Direction]]="",INDEX(Direction[Degree],MATCH(FourthFloor[[#This Row],[Direction]],Direction[Direction],0)),FourthFloor[[#This Row],[Custom Angular Direction]]),"")</f>
        <v/>
      </c>
      <c r="H63" s="48">
        <f>IFERROR(IF(COS(RADIANS(FourthFloor[[#This Row],[Angular Direction]]))*FourthFloor[[#This Row],[Unit Change]]=0,H62,H62+COS(RADIANS(FourthFloor[[#This Row],[Angular Direction]]))*FourthFloor[[#This Row],[Unit Change]]),$H$35)</f>
        <v>0</v>
      </c>
      <c r="I63" s="48">
        <f>IFERROR(IF(SIN(RADIANS(FourthFloor[[#This Row],[Angular Direction]]))*FourthFloor[[#This Row],[Unit Change]]=0,I62,I62+SIN(RADIANS(FourthFloor[[#This Row],[Angular Direction]]))*FourthFloor[[#This Row],[Unit Change]]),$I$35)</f>
        <v>0</v>
      </c>
      <c r="J63" s="48">
        <f>H62*FourthFloor[[#This Row],[Y-Axis]]-I62*FourthFloor[[#This Row],[X-Axis]]</f>
        <v>0</v>
      </c>
      <c r="L63" s="37">
        <v>28</v>
      </c>
      <c r="M63" s="34"/>
      <c r="N63" s="35"/>
      <c r="O63" s="55"/>
      <c r="P63" s="37">
        <f>OverlapFourthFloor[[#This Row],[Unit Change]]+$B$33*2</f>
        <v>0</v>
      </c>
      <c r="Q63" s="37" t="str">
        <f>_xlfn.IFNA(IF(OverlapFourthFloor[[#This Row],[Custom Angular Direction]]="",INDEX(Direction[Degree],MATCH(OverlapFourthFloor[[#This Row],[Direction]],Direction[Direction],0)),OverlapFourthFloor[[#This Row],[Custom Angular Direction]]),"")</f>
        <v/>
      </c>
      <c r="R63" s="48">
        <f>IFERROR(IF(COS(RADIANS(OverlapFourthFloor[[#This Row],[Angular Direction]]))*OverlapFourthFloor[[#This Row],[Unit Change]]=0,R62,R62+COS(RADIANS(OverlapFourthFloor[[#This Row],[Angular Direction]]))*OverlapFourthFloor[[#This Row],[Unit Change]]),$R$35)</f>
        <v>0</v>
      </c>
      <c r="S63" s="48">
        <f>IFERROR(IF(SIN(RADIANS(OverlapFourthFloor[[#This Row],[Angular Direction]]))*OverlapFourthFloor[[#This Row],[Unit Change]]=0,S62,S62+SIN(RADIANS(OverlapFourthFloor[[#This Row],[Angular Direction]]))*OverlapFourthFloor[[#This Row],[Unit Change]]),$S$35)</f>
        <v>0</v>
      </c>
      <c r="T63" s="48">
        <f>R62*OverlapFourthFloor[[#This Row],[Y-Axis]]-S62*OverlapFourthFloor[[#This Row],[X-Axis]]</f>
        <v>0</v>
      </c>
    </row>
    <row r="64" spans="1:20" x14ac:dyDescent="0.45">
      <c r="A64" s="37">
        <v>29</v>
      </c>
      <c r="B64" s="34"/>
      <c r="C64" s="35"/>
      <c r="D64" s="34"/>
      <c r="E64" s="34"/>
      <c r="F64" s="37">
        <f>FourthFloor[[#This Row],[Unit Change]]+$B$33*2</f>
        <v>0</v>
      </c>
      <c r="G64" s="37" t="str">
        <f>_xlfn.IFNA(IF(FourthFloor[[#This Row],[Custom Angular Direction]]="",INDEX(Direction[Degree],MATCH(FourthFloor[[#This Row],[Direction]],Direction[Direction],0)),FourthFloor[[#This Row],[Custom Angular Direction]]),"")</f>
        <v/>
      </c>
      <c r="H64" s="48">
        <f>IFERROR(IF(COS(RADIANS(FourthFloor[[#This Row],[Angular Direction]]))*FourthFloor[[#This Row],[Unit Change]]=0,H63,H63+COS(RADIANS(FourthFloor[[#This Row],[Angular Direction]]))*FourthFloor[[#This Row],[Unit Change]]),$H$35)</f>
        <v>0</v>
      </c>
      <c r="I64" s="48">
        <f>IFERROR(IF(SIN(RADIANS(FourthFloor[[#This Row],[Angular Direction]]))*FourthFloor[[#This Row],[Unit Change]]=0,I63,I63+SIN(RADIANS(FourthFloor[[#This Row],[Angular Direction]]))*FourthFloor[[#This Row],[Unit Change]]),$I$35)</f>
        <v>0</v>
      </c>
      <c r="J64" s="48">
        <f>H63*FourthFloor[[#This Row],[Y-Axis]]-I63*FourthFloor[[#This Row],[X-Axis]]</f>
        <v>0</v>
      </c>
      <c r="L64" s="37">
        <v>29</v>
      </c>
      <c r="M64" s="34"/>
      <c r="N64" s="35"/>
      <c r="O64" s="55"/>
      <c r="P64" s="37">
        <f>OverlapFourthFloor[[#This Row],[Unit Change]]+$B$33*2</f>
        <v>0</v>
      </c>
      <c r="Q64" s="37" t="str">
        <f>_xlfn.IFNA(IF(OverlapFourthFloor[[#This Row],[Custom Angular Direction]]="",INDEX(Direction[Degree],MATCH(OverlapFourthFloor[[#This Row],[Direction]],Direction[Direction],0)),OverlapFourthFloor[[#This Row],[Custom Angular Direction]]),"")</f>
        <v/>
      </c>
      <c r="R64" s="48">
        <f>IFERROR(IF(COS(RADIANS(OverlapFourthFloor[[#This Row],[Angular Direction]]))*OverlapFourthFloor[[#This Row],[Unit Change]]=0,R63,R63+COS(RADIANS(OverlapFourthFloor[[#This Row],[Angular Direction]]))*OverlapFourthFloor[[#This Row],[Unit Change]]),$R$35)</f>
        <v>0</v>
      </c>
      <c r="S64" s="48">
        <f>IFERROR(IF(SIN(RADIANS(OverlapFourthFloor[[#This Row],[Angular Direction]]))*OverlapFourthFloor[[#This Row],[Unit Change]]=0,S63,S63+SIN(RADIANS(OverlapFourthFloor[[#This Row],[Angular Direction]]))*OverlapFourthFloor[[#This Row],[Unit Change]]),$S$35)</f>
        <v>0</v>
      </c>
      <c r="T64" s="48">
        <f>R63*OverlapFourthFloor[[#This Row],[Y-Axis]]-S63*OverlapFourthFloor[[#This Row],[X-Axis]]</f>
        <v>0</v>
      </c>
    </row>
    <row r="65" spans="1:20" x14ac:dyDescent="0.45">
      <c r="A65" s="37">
        <v>30</v>
      </c>
      <c r="B65" s="34"/>
      <c r="C65" s="35"/>
      <c r="D65" s="34"/>
      <c r="E65" s="34"/>
      <c r="F65" s="37">
        <f>FourthFloor[[#This Row],[Unit Change]]+$B$33*2</f>
        <v>0</v>
      </c>
      <c r="G65" s="37" t="str">
        <f>_xlfn.IFNA(IF(FourthFloor[[#This Row],[Custom Angular Direction]]="",INDEX(Direction[Degree],MATCH(FourthFloor[[#This Row],[Direction]],Direction[Direction],0)),FourthFloor[[#This Row],[Custom Angular Direction]]),"")</f>
        <v/>
      </c>
      <c r="H65" s="48">
        <f>IFERROR(IF(COS(RADIANS(FourthFloor[[#This Row],[Angular Direction]]))*FourthFloor[[#This Row],[Unit Change]]=0,H64,H64+COS(RADIANS(FourthFloor[[#This Row],[Angular Direction]]))*FourthFloor[[#This Row],[Unit Change]]),$H$35)</f>
        <v>0</v>
      </c>
      <c r="I65" s="48">
        <f>IFERROR(IF(SIN(RADIANS(FourthFloor[[#This Row],[Angular Direction]]))*FourthFloor[[#This Row],[Unit Change]]=0,I64,I64+SIN(RADIANS(FourthFloor[[#This Row],[Angular Direction]]))*FourthFloor[[#This Row],[Unit Change]]),$I$35)</f>
        <v>0</v>
      </c>
      <c r="J65" s="48">
        <f>H64*FourthFloor[[#This Row],[Y-Axis]]-I64*FourthFloor[[#This Row],[X-Axis]]</f>
        <v>0</v>
      </c>
      <c r="L65" s="37">
        <v>30</v>
      </c>
      <c r="M65" s="34"/>
      <c r="N65" s="35"/>
      <c r="O65" s="55"/>
      <c r="P65" s="37">
        <f>OverlapFourthFloor[[#This Row],[Unit Change]]+$B$33*2</f>
        <v>0</v>
      </c>
      <c r="Q65" s="37" t="str">
        <f>_xlfn.IFNA(IF(OverlapFourthFloor[[#This Row],[Custom Angular Direction]]="",INDEX(Direction[Degree],MATCH(OverlapFourthFloor[[#This Row],[Direction]],Direction[Direction],0)),OverlapFourthFloor[[#This Row],[Custom Angular Direction]]),"")</f>
        <v/>
      </c>
      <c r="R65" s="48">
        <f>IFERROR(IF(COS(RADIANS(OverlapFourthFloor[[#This Row],[Angular Direction]]))*OverlapFourthFloor[[#This Row],[Unit Change]]=0,R64,R64+COS(RADIANS(OverlapFourthFloor[[#This Row],[Angular Direction]]))*OverlapFourthFloor[[#This Row],[Unit Change]]),$R$35)</f>
        <v>0</v>
      </c>
      <c r="S65" s="48">
        <f>IFERROR(IF(SIN(RADIANS(OverlapFourthFloor[[#This Row],[Angular Direction]]))*OverlapFourthFloor[[#This Row],[Unit Change]]=0,S64,S64+SIN(RADIANS(OverlapFourthFloor[[#This Row],[Angular Direction]]))*OverlapFourthFloor[[#This Row],[Unit Change]]),$S$35)</f>
        <v>0</v>
      </c>
      <c r="T65" s="48">
        <f>R64*OverlapFourthFloor[[#This Row],[Y-Axis]]-S64*OverlapFourthFloor[[#This Row],[X-Axis]]</f>
        <v>0</v>
      </c>
    </row>
    <row r="66" spans="1:20" x14ac:dyDescent="0.45">
      <c r="A66" s="37">
        <v>31</v>
      </c>
      <c r="B66" s="34"/>
      <c r="C66" s="35"/>
      <c r="D66" s="34"/>
      <c r="E66" s="34"/>
      <c r="F66" s="37">
        <f>FourthFloor[[#This Row],[Unit Change]]+$B$33*2</f>
        <v>0</v>
      </c>
      <c r="G66" s="37" t="str">
        <f>_xlfn.IFNA(IF(FourthFloor[[#This Row],[Custom Angular Direction]]="",INDEX(Direction[Degree],MATCH(FourthFloor[[#This Row],[Direction]],Direction[Direction],0)),FourthFloor[[#This Row],[Custom Angular Direction]]),"")</f>
        <v/>
      </c>
      <c r="H66" s="48">
        <f>IFERROR(IF(COS(RADIANS(FourthFloor[[#This Row],[Angular Direction]]))*FourthFloor[[#This Row],[Unit Change]]=0,H65,H65+COS(RADIANS(FourthFloor[[#This Row],[Angular Direction]]))*FourthFloor[[#This Row],[Unit Change]]),$H$35)</f>
        <v>0</v>
      </c>
      <c r="I66" s="48">
        <f>IFERROR(IF(SIN(RADIANS(FourthFloor[[#This Row],[Angular Direction]]))*FourthFloor[[#This Row],[Unit Change]]=0,I65,I65+SIN(RADIANS(FourthFloor[[#This Row],[Angular Direction]]))*FourthFloor[[#This Row],[Unit Change]]),$I$35)</f>
        <v>0</v>
      </c>
      <c r="J66" s="48">
        <f>H65*FourthFloor[[#This Row],[Y-Axis]]-I65*FourthFloor[[#This Row],[X-Axis]]</f>
        <v>0</v>
      </c>
      <c r="L66" s="37">
        <v>31</v>
      </c>
      <c r="M66" s="34"/>
      <c r="N66" s="35"/>
      <c r="O66" s="55"/>
      <c r="P66" s="37">
        <f>OverlapFourthFloor[[#This Row],[Unit Change]]+$B$33*2</f>
        <v>0</v>
      </c>
      <c r="Q66" s="37" t="str">
        <f>_xlfn.IFNA(IF(OverlapFourthFloor[[#This Row],[Custom Angular Direction]]="",INDEX(Direction[Degree],MATCH(OverlapFourthFloor[[#This Row],[Direction]],Direction[Direction],0)),OverlapFourthFloor[[#This Row],[Custom Angular Direction]]),"")</f>
        <v/>
      </c>
      <c r="R66" s="48">
        <f>IFERROR(IF(COS(RADIANS(OverlapFourthFloor[[#This Row],[Angular Direction]]))*OverlapFourthFloor[[#This Row],[Unit Change]]=0,R65,R65+COS(RADIANS(OverlapFourthFloor[[#This Row],[Angular Direction]]))*OverlapFourthFloor[[#This Row],[Unit Change]]),$R$35)</f>
        <v>0</v>
      </c>
      <c r="S66" s="48">
        <f>IFERROR(IF(SIN(RADIANS(OverlapFourthFloor[[#This Row],[Angular Direction]]))*OverlapFourthFloor[[#This Row],[Unit Change]]=0,S65,S65+SIN(RADIANS(OverlapFourthFloor[[#This Row],[Angular Direction]]))*OverlapFourthFloor[[#This Row],[Unit Change]]),$S$35)</f>
        <v>0</v>
      </c>
      <c r="T66" s="48">
        <f>R65*OverlapFourthFloor[[#This Row],[Y-Axis]]-S65*OverlapFourthFloor[[#This Row],[X-Axis]]</f>
        <v>0</v>
      </c>
    </row>
    <row r="67" spans="1:20" x14ac:dyDescent="0.45">
      <c r="G67" s="48"/>
      <c r="H67" s="48"/>
      <c r="I67" s="48"/>
      <c r="J67" s="48"/>
    </row>
    <row r="68" spans="1:20" x14ac:dyDescent="0.45">
      <c r="G68" s="48"/>
      <c r="H68" s="48"/>
      <c r="I68" s="48"/>
      <c r="J68" s="48"/>
    </row>
    <row r="69" spans="1:20" x14ac:dyDescent="0.45">
      <c r="G69" s="48"/>
      <c r="H69" s="48"/>
      <c r="I69" s="48"/>
      <c r="J69" s="48"/>
    </row>
    <row r="70" spans="1:20" x14ac:dyDescent="0.45">
      <c r="G70" s="48"/>
      <c r="H70" s="48"/>
      <c r="I70" s="48"/>
      <c r="J70" s="48"/>
    </row>
    <row r="71" spans="1:20" x14ac:dyDescent="0.45">
      <c r="G71" s="48"/>
      <c r="H71" s="48"/>
      <c r="I71" s="48"/>
      <c r="J71" s="48"/>
    </row>
    <row r="72" spans="1:20" x14ac:dyDescent="0.45">
      <c r="G72" s="48"/>
      <c r="H72" s="48"/>
      <c r="I72" s="48"/>
      <c r="J72" s="48"/>
    </row>
    <row r="73" spans="1:20" x14ac:dyDescent="0.45">
      <c r="G73" s="48"/>
      <c r="H73" s="48"/>
      <c r="I73" s="48"/>
      <c r="J73" s="48"/>
    </row>
    <row r="74" spans="1:20" x14ac:dyDescent="0.45">
      <c r="G74" s="48"/>
      <c r="H74" s="48"/>
      <c r="I74" s="48"/>
      <c r="J74" s="48"/>
    </row>
    <row r="75" spans="1:20" x14ac:dyDescent="0.45">
      <c r="G75" s="48"/>
      <c r="H75" s="48"/>
      <c r="I75" s="48"/>
      <c r="J75" s="48"/>
    </row>
    <row r="76" spans="1:20" x14ac:dyDescent="0.45">
      <c r="G76" s="48"/>
      <c r="H76" s="48"/>
      <c r="I76" s="48"/>
      <c r="J76" s="48"/>
    </row>
    <row r="77" spans="1:20" x14ac:dyDescent="0.45">
      <c r="G77" s="48"/>
      <c r="H77" s="48"/>
      <c r="I77" s="48"/>
      <c r="J77" s="48"/>
    </row>
    <row r="78" spans="1:20" x14ac:dyDescent="0.45">
      <c r="G78" s="48"/>
      <c r="H78" s="48"/>
      <c r="I78" s="48"/>
      <c r="J78" s="48"/>
    </row>
    <row r="79" spans="1:20" x14ac:dyDescent="0.45">
      <c r="G79" s="48"/>
      <c r="H79" s="48"/>
      <c r="I79" s="48"/>
      <c r="J79" s="48"/>
    </row>
    <row r="80" spans="1:20" x14ac:dyDescent="0.45">
      <c r="G80" s="48"/>
      <c r="H80" s="48"/>
      <c r="I80" s="48"/>
      <c r="J80" s="48"/>
    </row>
    <row r="81" spans="7:10" x14ac:dyDescent="0.45">
      <c r="G81" s="48"/>
      <c r="H81" s="48"/>
      <c r="I81" s="48"/>
      <c r="J81" s="48"/>
    </row>
    <row r="82" spans="7:10" x14ac:dyDescent="0.45">
      <c r="G82" s="48"/>
      <c r="H82" s="48"/>
      <c r="I82" s="48"/>
      <c r="J82" s="48"/>
    </row>
    <row r="83" spans="7:10" x14ac:dyDescent="0.45">
      <c r="G83" s="48"/>
      <c r="H83" s="48"/>
      <c r="I83" s="48"/>
      <c r="J83" s="48"/>
    </row>
    <row r="84" spans="7:10" x14ac:dyDescent="0.45">
      <c r="G84" s="48"/>
      <c r="H84" s="48"/>
      <c r="I84" s="48"/>
      <c r="J84" s="48"/>
    </row>
    <row r="85" spans="7:10" x14ac:dyDescent="0.45">
      <c r="G85" s="48"/>
      <c r="H85" s="48"/>
      <c r="I85" s="48"/>
      <c r="J85" s="48"/>
    </row>
    <row r="86" spans="7:10" x14ac:dyDescent="0.45">
      <c r="G86" s="48"/>
      <c r="H86" s="48"/>
      <c r="I86" s="48"/>
      <c r="J86" s="48"/>
    </row>
    <row r="87" spans="7:10" x14ac:dyDescent="0.45">
      <c r="G87" s="48"/>
      <c r="H87" s="48"/>
      <c r="I87" s="48"/>
      <c r="J87" s="48"/>
    </row>
    <row r="88" spans="7:10" x14ac:dyDescent="0.45">
      <c r="G88" s="48"/>
      <c r="H88" s="48"/>
      <c r="I88" s="48"/>
      <c r="J88" s="48"/>
    </row>
    <row r="89" spans="7:10" x14ac:dyDescent="0.45">
      <c r="G89" s="48"/>
      <c r="H89" s="48"/>
      <c r="I89" s="48"/>
      <c r="J89" s="48"/>
    </row>
    <row r="90" spans="7:10" x14ac:dyDescent="0.45">
      <c r="G90" s="48"/>
      <c r="H90" s="48"/>
      <c r="I90" s="48"/>
      <c r="J90" s="48"/>
    </row>
    <row r="91" spans="7:10" x14ac:dyDescent="0.45">
      <c r="G91" s="48"/>
      <c r="H91" s="48"/>
      <c r="I91" s="48"/>
      <c r="J91" s="48"/>
    </row>
    <row r="92" spans="7:10" x14ac:dyDescent="0.45">
      <c r="G92" s="48"/>
      <c r="H92" s="48"/>
      <c r="I92" s="48"/>
      <c r="J92" s="48"/>
    </row>
    <row r="93" spans="7:10" x14ac:dyDescent="0.45">
      <c r="G93" s="48"/>
      <c r="H93" s="48"/>
      <c r="I93" s="48"/>
      <c r="J93" s="48"/>
    </row>
    <row r="94" spans="7:10" x14ac:dyDescent="0.45">
      <c r="G94" s="48"/>
      <c r="H94" s="48"/>
      <c r="I94" s="48"/>
      <c r="J94" s="48"/>
    </row>
    <row r="95" spans="7:10" x14ac:dyDescent="0.45">
      <c r="G95" s="48"/>
      <c r="H95" s="48"/>
      <c r="I95" s="48"/>
      <c r="J95" s="48"/>
    </row>
    <row r="96" spans="7:10" x14ac:dyDescent="0.45">
      <c r="G96" s="48"/>
      <c r="H96" s="48"/>
      <c r="I96" s="48"/>
      <c r="J96" s="48"/>
    </row>
    <row r="97" spans="7:10" x14ac:dyDescent="0.45">
      <c r="G97" s="48"/>
      <c r="H97" s="48"/>
      <c r="I97" s="48"/>
      <c r="J97" s="48"/>
    </row>
    <row r="98" spans="7:10" x14ac:dyDescent="0.45">
      <c r="G98" s="48"/>
      <c r="H98" s="48"/>
      <c r="I98" s="48"/>
      <c r="J98" s="48"/>
    </row>
    <row r="99" spans="7:10" x14ac:dyDescent="0.45">
      <c r="G99" s="48"/>
      <c r="H99" s="48"/>
      <c r="I99" s="48"/>
      <c r="J99" s="48"/>
    </row>
    <row r="100" spans="7:10" x14ac:dyDescent="0.45">
      <c r="G100" s="48"/>
      <c r="H100" s="48"/>
      <c r="I100" s="48"/>
      <c r="J100" s="48"/>
    </row>
    <row r="101" spans="7:10" x14ac:dyDescent="0.45">
      <c r="G101" s="48"/>
      <c r="H101" s="48"/>
      <c r="I101" s="48"/>
      <c r="J101" s="48"/>
    </row>
  </sheetData>
  <mergeCells count="3">
    <mergeCell ref="A9:C9"/>
    <mergeCell ref="L32:T32"/>
    <mergeCell ref="A32:J32"/>
  </mergeCells>
  <dataValidations count="2">
    <dataValidation type="list" allowBlank="1" showInputMessage="1" showErrorMessage="1" sqref="B5:B6" xr:uid="{3A1AF44E-4E28-4DC6-B4A6-0418C75723EB}">
      <formula1>"Yes,No"</formula1>
    </dataValidation>
    <dataValidation type="list" allowBlank="1" showInputMessage="1" showErrorMessage="1" sqref="E36:E66 C36:C66" xr:uid="{0FF482E3-BB23-4039-880F-E7B91FA86113}">
      <formula1>$A$16:$A$20</formula1>
    </dataValidation>
  </dataValidations>
  <pageMargins left="0.7" right="0.7" top="0.75" bottom="0.75" header="0.3" footer="0.3"/>
  <pageSetup orientation="portrait" horizontalDpi="1200" verticalDpi="1200" r:id="rId1"/>
  <drawing r:id="rId2"/>
  <tableParts count="4">
    <tablePart r:id="rId3"/>
    <tablePart r:id="rId4"/>
    <tablePart r:id="rId5"/>
    <tablePart r:id="rId6"/>
  </tableParts>
  <extLst>
    <ext xmlns:x14="http://schemas.microsoft.com/office/spreadsheetml/2009/9/main" uri="{CCE6A557-97BC-4b89-ADB6-D9C93CAAB3DF}">
      <x14:dataValidations xmlns:xm="http://schemas.microsoft.com/office/excel/2006/main" count="2">
        <x14:dataValidation type="list" allowBlank="1" showInputMessage="1" showErrorMessage="1" xr:uid="{3AA6F47F-4CCE-43AC-A1E2-F58BC767B115}">
          <x14:formula1>
            <xm:f>Reference!$A$2:$A$9</xm:f>
          </x14:formula1>
          <xm:sqref>D67:D101 N36:N66</xm:sqref>
        </x14:dataValidation>
        <x14:dataValidation type="list" allowBlank="1" showInputMessage="1" showErrorMessage="1" xr:uid="{894B232D-8776-407F-82A8-AACC7B1A9CFB}">
          <x14:formula1>
            <xm:f>Reference!$A$2:$A$10</xm:f>
          </x14:formula1>
          <xm:sqref>C36:C66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52D08-F20E-46D9-BA38-EF83B7193B39}">
  <sheetPr codeName="Sheet2"/>
  <dimension ref="A1:K97"/>
  <sheetViews>
    <sheetView workbookViewId="0">
      <selection activeCell="C11" sqref="C11"/>
    </sheetView>
  </sheetViews>
  <sheetFormatPr defaultRowHeight="14.25" x14ac:dyDescent="0.45"/>
  <cols>
    <col min="1" max="1" width="17.3984375" bestFit="1" customWidth="1"/>
    <col min="2" max="3" width="13.53125" customWidth="1"/>
    <col min="4" max="4" width="10.3984375" customWidth="1"/>
    <col min="5" max="5" width="16.86328125" bestFit="1" customWidth="1"/>
    <col min="6" max="6" width="24.59765625" bestFit="1" customWidth="1"/>
    <col min="7" max="8" width="10.59765625" customWidth="1"/>
    <col min="9" max="9" width="14.06640625" bestFit="1" customWidth="1"/>
    <col min="10" max="10" width="12.86328125" bestFit="1" customWidth="1"/>
    <col min="11" max="11" width="12.19921875" bestFit="1" customWidth="1"/>
    <col min="14" max="14" width="14.73046875" bestFit="1" customWidth="1"/>
  </cols>
  <sheetData>
    <row r="1" spans="1:3" ht="14.65" thickBot="1" x14ac:dyDescent="0.5"/>
    <row r="2" spans="1:3" x14ac:dyDescent="0.45">
      <c r="A2" s="13" t="s">
        <v>33</v>
      </c>
      <c r="B2" s="22">
        <f>ABS(SUM(Basement[Area Sum])/2)-SUM(Table1925[Areas to subtract])</f>
        <v>0</v>
      </c>
    </row>
    <row r="3" spans="1:3" ht="14.65" thickBot="1" x14ac:dyDescent="0.5">
      <c r="A3" s="32" t="s">
        <v>27</v>
      </c>
      <c r="B3" s="33">
        <f>IF(B2-'1st Floor'!B4&lt;0,"",B2-'1st Floor'!B4)+SUM(Table1925[Areas to subtract])</f>
        <v>0</v>
      </c>
    </row>
    <row r="4" spans="1:3" ht="14.65" thickBot="1" x14ac:dyDescent="0.5"/>
    <row r="5" spans="1:3" x14ac:dyDescent="0.45">
      <c r="A5" s="92" t="s">
        <v>36</v>
      </c>
      <c r="B5" s="93"/>
      <c r="C5" s="94"/>
    </row>
    <row r="6" spans="1:3" x14ac:dyDescent="0.45">
      <c r="A6" s="14"/>
      <c r="B6" s="44" t="s">
        <v>200</v>
      </c>
      <c r="C6" s="41" t="s">
        <v>201</v>
      </c>
    </row>
    <row r="7" spans="1:3" ht="14.65" thickBot="1" x14ac:dyDescent="0.5">
      <c r="A7" s="32" t="s">
        <v>41</v>
      </c>
      <c r="B7" s="51"/>
      <c r="C7" s="52"/>
    </row>
    <row r="9" spans="1:3" x14ac:dyDescent="0.45">
      <c r="A9" t="s">
        <v>130</v>
      </c>
      <c r="B9" t="s">
        <v>155</v>
      </c>
    </row>
    <row r="10" spans="1:3" x14ac:dyDescent="0.45">
      <c r="A10" t="s">
        <v>152</v>
      </c>
      <c r="B10">
        <f>IF(Summary!$E$15="Conditioned Crawl",'1st Floor'!B15,SUM(Basement[Offset Change]))</f>
        <v>0</v>
      </c>
    </row>
    <row r="11" spans="1:3" x14ac:dyDescent="0.45">
      <c r="A11" t="s">
        <v>149</v>
      </c>
      <c r="B11">
        <f>IF(Summary!$E$15="Conditioned Crawl",B10,SUMIF(Basement[Wall Type],A12,Basement[Offset Change]))</f>
        <v>0</v>
      </c>
    </row>
    <row r="12" spans="1:3" x14ac:dyDescent="0.45">
      <c r="A12" t="s">
        <v>168</v>
      </c>
      <c r="B12">
        <f>SUMIF(Basement[Wall Type],A12,Basement[Offset Change])</f>
        <v>0</v>
      </c>
    </row>
    <row r="13" spans="1:3" x14ac:dyDescent="0.45">
      <c r="A13" t="s">
        <v>169</v>
      </c>
      <c r="B13">
        <f>SUMIF(Basement[Wall Type],A13,Basement[Offset Change])</f>
        <v>0</v>
      </c>
    </row>
    <row r="14" spans="1:3" x14ac:dyDescent="0.45">
      <c r="A14" t="s">
        <v>150</v>
      </c>
      <c r="B14">
        <f>SUMIF(Basement[Wall Type],A14,Basement[Offset Change])</f>
        <v>0</v>
      </c>
    </row>
    <row r="15" spans="1:3" x14ac:dyDescent="0.45">
      <c r="A15" t="s">
        <v>147</v>
      </c>
      <c r="B15">
        <f>SUMIF(Basement[Wall Type],A15,Basement[Offset Change])</f>
        <v>0</v>
      </c>
    </row>
    <row r="17" spans="1:11" x14ac:dyDescent="0.45">
      <c r="A17" t="s">
        <v>184</v>
      </c>
    </row>
    <row r="18" spans="1:11" x14ac:dyDescent="0.45">
      <c r="A18" s="36"/>
    </row>
    <row r="19" spans="1:11" x14ac:dyDescent="0.45">
      <c r="A19" s="36"/>
    </row>
    <row r="20" spans="1:11" x14ac:dyDescent="0.45">
      <c r="A20" s="36"/>
    </row>
    <row r="21" spans="1:11" x14ac:dyDescent="0.45">
      <c r="A21" s="36"/>
    </row>
    <row r="29" spans="1:11" ht="18" x14ac:dyDescent="0.55000000000000004">
      <c r="A29" s="79" t="s">
        <v>202</v>
      </c>
      <c r="B29" s="79"/>
      <c r="C29" s="79"/>
      <c r="D29" s="79"/>
      <c r="E29" s="79"/>
      <c r="F29" s="79"/>
      <c r="G29" s="79"/>
      <c r="H29" s="79"/>
      <c r="I29" s="79"/>
      <c r="J29" s="79"/>
      <c r="K29" s="79"/>
    </row>
    <row r="30" spans="1:11" x14ac:dyDescent="0.45">
      <c r="A30" s="2" t="s">
        <v>12</v>
      </c>
      <c r="B30" s="36">
        <v>0</v>
      </c>
      <c r="C30" s="3"/>
      <c r="D30" s="3"/>
      <c r="E30" s="3"/>
      <c r="F30" s="3"/>
      <c r="G30" s="3" t="s">
        <v>10</v>
      </c>
      <c r="H30" s="3"/>
      <c r="I30" s="3"/>
      <c r="J30" s="3"/>
      <c r="K30" s="28"/>
    </row>
    <row r="31" spans="1:11" x14ac:dyDescent="0.45">
      <c r="A31" t="s">
        <v>14</v>
      </c>
      <c r="B31" t="s">
        <v>11</v>
      </c>
      <c r="C31" t="s">
        <v>9</v>
      </c>
      <c r="D31" t="s">
        <v>30</v>
      </c>
      <c r="E31" t="s">
        <v>151</v>
      </c>
      <c r="F31" t="s">
        <v>16</v>
      </c>
      <c r="G31" t="s">
        <v>29</v>
      </c>
      <c r="H31" t="s">
        <v>31</v>
      </c>
      <c r="I31" t="s">
        <v>32</v>
      </c>
      <c r="J31" t="s">
        <v>38</v>
      </c>
      <c r="K31" t="s">
        <v>35</v>
      </c>
    </row>
    <row r="32" spans="1:11" x14ac:dyDescent="0.45">
      <c r="A32">
        <v>0</v>
      </c>
      <c r="B32" s="56" t="s">
        <v>13</v>
      </c>
      <c r="C32" s="56" t="s">
        <v>13</v>
      </c>
      <c r="D32" s="56" t="s">
        <v>13</v>
      </c>
      <c r="E32" s="56" t="s">
        <v>13</v>
      </c>
      <c r="F32" s="56" t="s">
        <v>13</v>
      </c>
      <c r="G32" s="56" t="s">
        <v>13</v>
      </c>
      <c r="H32" s="1">
        <f>B7</f>
        <v>0</v>
      </c>
      <c r="I32" s="1">
        <f>C7</f>
        <v>0</v>
      </c>
      <c r="J32">
        <v>0</v>
      </c>
      <c r="K32">
        <v>0</v>
      </c>
    </row>
    <row r="33" spans="1:11" x14ac:dyDescent="0.45">
      <c r="A33">
        <v>1</v>
      </c>
      <c r="B33" s="34"/>
      <c r="C33" s="35"/>
      <c r="D33" s="34"/>
      <c r="E33" s="34"/>
      <c r="F33">
        <f>Basement[[#This Row],[Unit Change]]+$B$30*2</f>
        <v>0</v>
      </c>
      <c r="G33" t="str">
        <f>_xlfn.IFNA(IF(Basement[[#This Row],[Custom Angular Direction]]="",INDEX(Direction[Degree],MATCH(Basement[[#This Row],[Direction]],Direction[Direction],0)),Basement[[#This Row],[Custom Angular Direction]]),"")</f>
        <v/>
      </c>
      <c r="H33" s="1">
        <f>IFERROR(IF(COS(RADIANS(Basement[[#This Row],[Angular Direction]]))*Basement[[#This Row],[Unit Change]]=0,H32,H32+COS(RADIANS(Basement[[#This Row],[Angular Direction]]))*Basement[[#This Row],[Unit Change]]),$H$32)</f>
        <v>0</v>
      </c>
      <c r="I33" s="1">
        <f>IFERROR(IF(SIN(RADIANS(Basement[[#This Row],[Angular Direction]]))*Basement[[#This Row],[Unit Change]]=0,I32,I32+SIN(RADIANS(Basement[[#This Row],[Angular Direction]]))*Basement[[#This Row],[Unit Change]]),$I$32)</f>
        <v>0</v>
      </c>
      <c r="J33" s="1">
        <f>H32*Basement[[#This Row],[Y-Axis]]-I32*Basement[[#This Row],[X-Axis]]</f>
        <v>0</v>
      </c>
      <c r="K33" s="1">
        <f>'1st Floor'!J36-Basement[[#This Row],[Area Sum]]</f>
        <v>0</v>
      </c>
    </row>
    <row r="34" spans="1:11" x14ac:dyDescent="0.45">
      <c r="A34">
        <v>2</v>
      </c>
      <c r="B34" s="34"/>
      <c r="C34" s="35"/>
      <c r="D34" s="34"/>
      <c r="E34" s="34"/>
      <c r="F34">
        <f>Basement[[#This Row],[Unit Change]]+$B$30*2</f>
        <v>0</v>
      </c>
      <c r="G34" t="str">
        <f>_xlfn.IFNA(IF(Basement[[#This Row],[Custom Angular Direction]]="",INDEX(Direction[Degree],MATCH(Basement[[#This Row],[Direction]],Direction[Direction],0)),Basement[[#This Row],[Custom Angular Direction]]),"")</f>
        <v/>
      </c>
      <c r="H34" s="1">
        <f>IFERROR(IF(COS(RADIANS(Basement[[#This Row],[Angular Direction]]))*Basement[[#This Row],[Unit Change]]=0,H33,H33+COS(RADIANS(Basement[[#This Row],[Angular Direction]]))*Basement[[#This Row],[Unit Change]]),$H$32)</f>
        <v>0</v>
      </c>
      <c r="I34" s="1">
        <f>IFERROR(IF(SIN(RADIANS(Basement[[#This Row],[Angular Direction]]))*Basement[[#This Row],[Unit Change]]=0,I33,I33+SIN(RADIANS(Basement[[#This Row],[Angular Direction]]))*Basement[[#This Row],[Unit Change]]),$I$32)</f>
        <v>0</v>
      </c>
      <c r="J34" s="1">
        <f>H33*Basement[[#This Row],[Y-Axis]]-I33*Basement[[#This Row],[X-Axis]]</f>
        <v>0</v>
      </c>
      <c r="K34" s="1">
        <f>'1st Floor'!J37-Basement[[#This Row],[Area Sum]]</f>
        <v>75</v>
      </c>
    </row>
    <row r="35" spans="1:11" x14ac:dyDescent="0.45">
      <c r="A35">
        <v>3</v>
      </c>
      <c r="B35" s="34"/>
      <c r="C35" s="35"/>
      <c r="D35" s="34"/>
      <c r="E35" s="34"/>
      <c r="F35">
        <f>Basement[[#This Row],[Unit Change]]+$B$30*2</f>
        <v>0</v>
      </c>
      <c r="G35" t="str">
        <f>_xlfn.IFNA(IF(Basement[[#This Row],[Custom Angular Direction]]="",INDEX(Direction[Degree],MATCH(Basement[[#This Row],[Direction]],Direction[Direction],0)),Basement[[#This Row],[Custom Angular Direction]]),"")</f>
        <v/>
      </c>
      <c r="H35" s="1">
        <f>IFERROR(IF(COS(RADIANS(Basement[[#This Row],[Angular Direction]]))*Basement[[#This Row],[Unit Change]]=0,H34,H34+COS(RADIANS(Basement[[#This Row],[Angular Direction]]))*Basement[[#This Row],[Unit Change]]),$H$32)</f>
        <v>0</v>
      </c>
      <c r="I35" s="1">
        <f>IFERROR(IF(SIN(RADIANS(Basement[[#This Row],[Angular Direction]]))*Basement[[#This Row],[Unit Change]]=0,I34,I34+SIN(RADIANS(Basement[[#This Row],[Angular Direction]]))*Basement[[#This Row],[Unit Change]]),$I$32)</f>
        <v>0</v>
      </c>
      <c r="J35" s="1">
        <f>H34*Basement[[#This Row],[Y-Axis]]-I34*Basement[[#This Row],[X-Axis]]</f>
        <v>0</v>
      </c>
      <c r="K35" s="1">
        <f>'1st Floor'!J38-Basement[[#This Row],[Area Sum]]</f>
        <v>-75</v>
      </c>
    </row>
    <row r="36" spans="1:11" x14ac:dyDescent="0.45">
      <c r="A36">
        <v>4</v>
      </c>
      <c r="B36" s="34"/>
      <c r="C36" s="35"/>
      <c r="D36" s="34"/>
      <c r="E36" s="34"/>
      <c r="F36">
        <f>Basement[[#This Row],[Unit Change]]+$B$30*2</f>
        <v>0</v>
      </c>
      <c r="G36" t="str">
        <f>_xlfn.IFNA(IF(Basement[[#This Row],[Custom Angular Direction]]="",INDEX(Direction[Degree],MATCH(Basement[[#This Row],[Direction]],Direction[Direction],0)),Basement[[#This Row],[Custom Angular Direction]]),"")</f>
        <v/>
      </c>
      <c r="H36" s="1">
        <f>IFERROR(IF(COS(RADIANS(Basement[[#This Row],[Angular Direction]]))*Basement[[#This Row],[Unit Change]]=0,H35,H35+COS(RADIANS(Basement[[#This Row],[Angular Direction]]))*Basement[[#This Row],[Unit Change]]),$H$32)</f>
        <v>0</v>
      </c>
      <c r="I36" s="1">
        <f>IFERROR(IF(SIN(RADIANS(Basement[[#This Row],[Angular Direction]]))*Basement[[#This Row],[Unit Change]]=0,I35,I35+SIN(RADIANS(Basement[[#This Row],[Angular Direction]]))*Basement[[#This Row],[Unit Change]]),$I$32)</f>
        <v>0</v>
      </c>
      <c r="J36" s="1">
        <f>H35*Basement[[#This Row],[Y-Axis]]-I35*Basement[[#This Row],[X-Axis]]</f>
        <v>0</v>
      </c>
      <c r="K36" s="1">
        <f>'1st Floor'!J39-Basement[[#This Row],[Area Sum]]</f>
        <v>-150</v>
      </c>
    </row>
    <row r="37" spans="1:11" x14ac:dyDescent="0.45">
      <c r="A37">
        <v>5</v>
      </c>
      <c r="B37" s="34"/>
      <c r="C37" s="35"/>
      <c r="D37" s="34"/>
      <c r="E37" s="34"/>
      <c r="F37">
        <f>Basement[[#This Row],[Unit Change]]+$B$30*2</f>
        <v>0</v>
      </c>
      <c r="G37" t="str">
        <f>_xlfn.IFNA(IF(Basement[[#This Row],[Custom Angular Direction]]="",INDEX(Direction[Degree],MATCH(Basement[[#This Row],[Direction]],Direction[Direction],0)),Basement[[#This Row],[Custom Angular Direction]]),"")</f>
        <v/>
      </c>
      <c r="H37" s="1">
        <f>IFERROR(IF(COS(RADIANS(Basement[[#This Row],[Angular Direction]]))*Basement[[#This Row],[Unit Change]]=0,H36,H36+COS(RADIANS(Basement[[#This Row],[Angular Direction]]))*Basement[[#This Row],[Unit Change]]),$H$32)</f>
        <v>0</v>
      </c>
      <c r="I37" s="1">
        <f>IFERROR(IF(SIN(RADIANS(Basement[[#This Row],[Angular Direction]]))*Basement[[#This Row],[Unit Change]]=0,I36,I36+SIN(RADIANS(Basement[[#This Row],[Angular Direction]]))*Basement[[#This Row],[Unit Change]]),$I$32)</f>
        <v>0</v>
      </c>
      <c r="J37" s="1">
        <f>H36*Basement[[#This Row],[Y-Axis]]-I36*Basement[[#This Row],[X-Axis]]</f>
        <v>0</v>
      </c>
      <c r="K37" s="1">
        <f>'1st Floor'!J40-Basement[[#This Row],[Area Sum]]</f>
        <v>0</v>
      </c>
    </row>
    <row r="38" spans="1:11" x14ac:dyDescent="0.45">
      <c r="A38">
        <v>6</v>
      </c>
      <c r="B38" s="34"/>
      <c r="C38" s="35"/>
      <c r="D38" s="34"/>
      <c r="E38" s="34"/>
      <c r="F38">
        <f>Basement[[#This Row],[Unit Change]]+$B$30*2</f>
        <v>0</v>
      </c>
      <c r="G38" t="str">
        <f>_xlfn.IFNA(IF(Basement[[#This Row],[Custom Angular Direction]]="",INDEX(Direction[Degree],MATCH(Basement[[#This Row],[Direction]],Direction[Direction],0)),Basement[[#This Row],[Custom Angular Direction]]),"")</f>
        <v/>
      </c>
      <c r="H38" s="1">
        <f>IFERROR(IF(COS(RADIANS(Basement[[#This Row],[Angular Direction]]))*Basement[[#This Row],[Unit Change]]=0,H37,H37+COS(RADIANS(Basement[[#This Row],[Angular Direction]]))*Basement[[#This Row],[Unit Change]]),$H$32)</f>
        <v>0</v>
      </c>
      <c r="I38" s="1">
        <f>IFERROR(IF(SIN(RADIANS(Basement[[#This Row],[Angular Direction]]))*Basement[[#This Row],[Unit Change]]=0,I37,I37+SIN(RADIANS(Basement[[#This Row],[Angular Direction]]))*Basement[[#This Row],[Unit Change]]),$I$32)</f>
        <v>0</v>
      </c>
      <c r="J38" s="1">
        <f>H37*Basement[[#This Row],[Y-Axis]]-I37*Basement[[#This Row],[X-Axis]]</f>
        <v>0</v>
      </c>
      <c r="K38" s="1">
        <f>'1st Floor'!J41-Basement[[#This Row],[Area Sum]]</f>
        <v>-600</v>
      </c>
    </row>
    <row r="39" spans="1:11" x14ac:dyDescent="0.45">
      <c r="A39">
        <v>7</v>
      </c>
      <c r="B39" s="34"/>
      <c r="C39" s="35"/>
      <c r="D39" s="34"/>
      <c r="E39" s="34"/>
      <c r="F39">
        <f>Basement[[#This Row],[Unit Change]]+$B$30*2</f>
        <v>0</v>
      </c>
      <c r="G39" t="str">
        <f>_xlfn.IFNA(IF(Basement[[#This Row],[Custom Angular Direction]]="",INDEX(Direction[Degree],MATCH(Basement[[#This Row],[Direction]],Direction[Direction],0)),Basement[[#This Row],[Custom Angular Direction]]),"")</f>
        <v/>
      </c>
      <c r="H39" s="1">
        <f>IFERROR(IF(COS(RADIANS(Basement[[#This Row],[Angular Direction]]))*Basement[[#This Row],[Unit Change]]=0,H38,H38+COS(RADIANS(Basement[[#This Row],[Angular Direction]]))*Basement[[#This Row],[Unit Change]]),$H$32)</f>
        <v>0</v>
      </c>
      <c r="I39" s="1">
        <f>IFERROR(IF(SIN(RADIANS(Basement[[#This Row],[Angular Direction]]))*Basement[[#This Row],[Unit Change]]=0,I38,I38+SIN(RADIANS(Basement[[#This Row],[Angular Direction]]))*Basement[[#This Row],[Unit Change]]),$I$32)</f>
        <v>0</v>
      </c>
      <c r="J39" s="1">
        <f>H38*Basement[[#This Row],[Y-Axis]]-I38*Basement[[#This Row],[X-Axis]]</f>
        <v>0</v>
      </c>
      <c r="K39" s="1">
        <f>'1st Floor'!J42-Basement[[#This Row],[Area Sum]]</f>
        <v>-299.99999999999989</v>
      </c>
    </row>
    <row r="40" spans="1:11" x14ac:dyDescent="0.45">
      <c r="A40">
        <v>8</v>
      </c>
      <c r="B40" s="34"/>
      <c r="C40" s="35"/>
      <c r="D40" s="34"/>
      <c r="E40" s="34"/>
      <c r="F40">
        <f>Basement[[#This Row],[Unit Change]]+$B$30*2</f>
        <v>0</v>
      </c>
      <c r="G40" t="str">
        <f>_xlfn.IFNA(IF(Basement[[#This Row],[Custom Angular Direction]]="",INDEX(Direction[Degree],MATCH(Basement[[#This Row],[Direction]],Direction[Direction],0)),Basement[[#This Row],[Custom Angular Direction]]),"")</f>
        <v/>
      </c>
      <c r="H40" s="1">
        <f>IFERROR(IF(COS(RADIANS(Basement[[#This Row],[Angular Direction]]))*Basement[[#This Row],[Unit Change]]=0,H39,H39+COS(RADIANS(Basement[[#This Row],[Angular Direction]]))*Basement[[#This Row],[Unit Change]]),$H$32)</f>
        <v>0</v>
      </c>
      <c r="I40" s="1">
        <f>IFERROR(IF(SIN(RADIANS(Basement[[#This Row],[Angular Direction]]))*Basement[[#This Row],[Unit Change]]=0,I39,I39+SIN(RADIANS(Basement[[#This Row],[Angular Direction]]))*Basement[[#This Row],[Unit Change]]),$I$32)</f>
        <v>0</v>
      </c>
      <c r="J40" s="1">
        <f>H39*Basement[[#This Row],[Y-Axis]]-I39*Basement[[#This Row],[X-Axis]]</f>
        <v>0</v>
      </c>
      <c r="K40" s="1">
        <f>'1st Floor'!J43-Basement[[#This Row],[Area Sum]]</f>
        <v>-340.00000000000011</v>
      </c>
    </row>
    <row r="41" spans="1:11" x14ac:dyDescent="0.45">
      <c r="A41">
        <v>9</v>
      </c>
      <c r="B41" s="34"/>
      <c r="C41" s="35"/>
      <c r="D41" s="34"/>
      <c r="E41" s="34"/>
      <c r="F41">
        <f>Basement[[#This Row],[Unit Change]]+$B$30*2</f>
        <v>0</v>
      </c>
      <c r="G41" t="str">
        <f>_xlfn.IFNA(IF(Basement[[#This Row],[Custom Angular Direction]]="",INDEX(Direction[Degree],MATCH(Basement[[#This Row],[Direction]],Direction[Direction],0)),Basement[[#This Row],[Custom Angular Direction]]),"")</f>
        <v/>
      </c>
      <c r="H41" s="1">
        <f>IFERROR(IF(COS(RADIANS(Basement[[#This Row],[Angular Direction]]))*Basement[[#This Row],[Unit Change]]=0,H40,H40+COS(RADIANS(Basement[[#This Row],[Angular Direction]]))*Basement[[#This Row],[Unit Change]]),$H$32)</f>
        <v>0</v>
      </c>
      <c r="I41" s="1">
        <f>IFERROR(IF(SIN(RADIANS(Basement[[#This Row],[Angular Direction]]))*Basement[[#This Row],[Unit Change]]=0,I40,I40+SIN(RADIANS(Basement[[#This Row],[Angular Direction]]))*Basement[[#This Row],[Unit Change]]),$I$32)</f>
        <v>0</v>
      </c>
      <c r="J41" s="1">
        <f>H40*Basement[[#This Row],[Y-Axis]]-I40*Basement[[#This Row],[X-Axis]]</f>
        <v>0</v>
      </c>
      <c r="K41" s="1">
        <f>'1st Floor'!J44-Basement[[#This Row],[Area Sum]]</f>
        <v>-160</v>
      </c>
    </row>
    <row r="42" spans="1:11" x14ac:dyDescent="0.45">
      <c r="A42">
        <v>10</v>
      </c>
      <c r="B42" s="34"/>
      <c r="C42" s="35"/>
      <c r="D42" s="34"/>
      <c r="E42" s="34"/>
      <c r="F42">
        <f>Basement[[#This Row],[Unit Change]]+$B$30*2</f>
        <v>0</v>
      </c>
      <c r="G42" t="str">
        <f>_xlfn.IFNA(IF(Basement[[#This Row],[Custom Angular Direction]]="",INDEX(Direction[Degree],MATCH(Basement[[#This Row],[Direction]],Direction[Direction],0)),Basement[[#This Row],[Custom Angular Direction]]),"")</f>
        <v/>
      </c>
      <c r="H42" s="1">
        <f>IFERROR(IF(COS(RADIANS(Basement[[#This Row],[Angular Direction]]))*Basement[[#This Row],[Unit Change]]=0,H41,H41+COS(RADIANS(Basement[[#This Row],[Angular Direction]]))*Basement[[#This Row],[Unit Change]]),$H$32)</f>
        <v>0</v>
      </c>
      <c r="I42" s="1">
        <f>IFERROR(IF(SIN(RADIANS(Basement[[#This Row],[Angular Direction]]))*Basement[[#This Row],[Unit Change]]=0,I41,I41+SIN(RADIANS(Basement[[#This Row],[Angular Direction]]))*Basement[[#This Row],[Unit Change]]),$I$32)</f>
        <v>0</v>
      </c>
      <c r="J42" s="1">
        <f>H41*Basement[[#This Row],[Y-Axis]]-I41*Basement[[#This Row],[X-Axis]]</f>
        <v>0</v>
      </c>
      <c r="K42" s="1">
        <f>'1st Floor'!J45-Basement[[#This Row],[Area Sum]]</f>
        <v>-45</v>
      </c>
    </row>
    <row r="43" spans="1:11" x14ac:dyDescent="0.45">
      <c r="A43">
        <v>11</v>
      </c>
      <c r="B43" s="34"/>
      <c r="C43" s="35"/>
      <c r="D43" s="34"/>
      <c r="E43" s="34"/>
      <c r="F43">
        <f>Basement[[#This Row],[Unit Change]]+$B$30*2</f>
        <v>0</v>
      </c>
      <c r="G43" t="str">
        <f>_xlfn.IFNA(IF(Basement[[#This Row],[Custom Angular Direction]]="",INDEX(Direction[Degree],MATCH(Basement[[#This Row],[Direction]],Direction[Direction],0)),Basement[[#This Row],[Custom Angular Direction]]),"")</f>
        <v/>
      </c>
      <c r="H43" s="1">
        <f>IFERROR(IF(COS(RADIANS(Basement[[#This Row],[Angular Direction]]))*Basement[[#This Row],[Unit Change]]=0,H42,H42+COS(RADIANS(Basement[[#This Row],[Angular Direction]]))*Basement[[#This Row],[Unit Change]]),$H$32)</f>
        <v>0</v>
      </c>
      <c r="I43" s="1">
        <f>IFERROR(IF(SIN(RADIANS(Basement[[#This Row],[Angular Direction]]))*Basement[[#This Row],[Unit Change]]=0,I42,I42+SIN(RADIANS(Basement[[#This Row],[Angular Direction]]))*Basement[[#This Row],[Unit Change]]),$I$32)</f>
        <v>0</v>
      </c>
      <c r="J43" s="1">
        <f>H42*Basement[[#This Row],[Y-Axis]]-I42*Basement[[#This Row],[X-Axis]]</f>
        <v>0</v>
      </c>
      <c r="K43" s="1">
        <f>'1st Floor'!J46-Basement[[#This Row],[Area Sum]]</f>
        <v>-525</v>
      </c>
    </row>
    <row r="44" spans="1:11" x14ac:dyDescent="0.45">
      <c r="A44">
        <v>12</v>
      </c>
      <c r="B44" s="34"/>
      <c r="C44" s="35"/>
      <c r="D44" s="34"/>
      <c r="E44" s="34"/>
      <c r="F44">
        <f>Basement[[#This Row],[Unit Change]]+$B$30*2</f>
        <v>0</v>
      </c>
      <c r="G44" t="str">
        <f>_xlfn.IFNA(IF(Basement[[#This Row],[Custom Angular Direction]]="",INDEX(Direction[Degree],MATCH(Basement[[#This Row],[Direction]],Direction[Direction],0)),Basement[[#This Row],[Custom Angular Direction]]),"")</f>
        <v/>
      </c>
      <c r="H44" s="1">
        <f>IFERROR(IF(COS(RADIANS(Basement[[#This Row],[Angular Direction]]))*Basement[[#This Row],[Unit Change]]=0,H43,H43+COS(RADIANS(Basement[[#This Row],[Angular Direction]]))*Basement[[#This Row],[Unit Change]]),$H$32)</f>
        <v>0</v>
      </c>
      <c r="I44" s="1">
        <f>IFERROR(IF(SIN(RADIANS(Basement[[#This Row],[Angular Direction]]))*Basement[[#This Row],[Unit Change]]=0,I43,I43+SIN(RADIANS(Basement[[#This Row],[Angular Direction]]))*Basement[[#This Row],[Unit Change]]),$I$32)</f>
        <v>0</v>
      </c>
      <c r="J44" s="1">
        <f>H43*Basement[[#This Row],[Y-Axis]]-I43*Basement[[#This Row],[X-Axis]]</f>
        <v>0</v>
      </c>
      <c r="K44" s="1">
        <f>'1st Floor'!J47-Basement[[#This Row],[Area Sum]]</f>
        <v>-4.9304635894864557E-14</v>
      </c>
    </row>
    <row r="45" spans="1:11" x14ac:dyDescent="0.45">
      <c r="A45">
        <v>13</v>
      </c>
      <c r="B45" s="34"/>
      <c r="C45" s="35"/>
      <c r="D45" s="34"/>
      <c r="E45" s="34"/>
      <c r="F45">
        <f>Basement[[#This Row],[Unit Change]]+$B$30*2</f>
        <v>0</v>
      </c>
      <c r="G45" t="str">
        <f>_xlfn.IFNA(IF(Basement[[#This Row],[Custom Angular Direction]]="",INDEX(Direction[Degree],MATCH(Basement[[#This Row],[Direction]],Direction[Direction],0)),Basement[[#This Row],[Custom Angular Direction]]),"")</f>
        <v/>
      </c>
      <c r="H45" s="1">
        <f>IFERROR(IF(COS(RADIANS(Basement[[#This Row],[Angular Direction]]))*Basement[[#This Row],[Unit Change]]=0,H44,H44+COS(RADIANS(Basement[[#This Row],[Angular Direction]]))*Basement[[#This Row],[Unit Change]]),$H$32)</f>
        <v>0</v>
      </c>
      <c r="I45" s="1">
        <f>IFERROR(IF(SIN(RADIANS(Basement[[#This Row],[Angular Direction]]))*Basement[[#This Row],[Unit Change]]=0,I44,I44+SIN(RADIANS(Basement[[#This Row],[Angular Direction]]))*Basement[[#This Row],[Unit Change]]),$I$32)</f>
        <v>0</v>
      </c>
      <c r="J45" s="1">
        <f>H44*Basement[[#This Row],[Y-Axis]]-I44*Basement[[#This Row],[X-Axis]]</f>
        <v>0</v>
      </c>
      <c r="K45" s="1">
        <f>'1st Floor'!J48-Basement[[#This Row],[Area Sum]]</f>
        <v>0</v>
      </c>
    </row>
    <row r="46" spans="1:11" x14ac:dyDescent="0.45">
      <c r="A46">
        <v>14</v>
      </c>
      <c r="B46" s="34"/>
      <c r="C46" s="35"/>
      <c r="D46" s="34"/>
      <c r="E46" s="34"/>
      <c r="F46">
        <f>Basement[[#This Row],[Unit Change]]+$B$30*2</f>
        <v>0</v>
      </c>
      <c r="G46" t="str">
        <f>_xlfn.IFNA(IF(Basement[[#This Row],[Custom Angular Direction]]="",INDEX(Direction[Degree],MATCH(Basement[[#This Row],[Direction]],Direction[Direction],0)),Basement[[#This Row],[Custom Angular Direction]]),"")</f>
        <v/>
      </c>
      <c r="H46" s="1">
        <f>IFERROR(IF(COS(RADIANS(Basement[[#This Row],[Angular Direction]]))*Basement[[#This Row],[Unit Change]]=0,H45,H45+COS(RADIANS(Basement[[#This Row],[Angular Direction]]))*Basement[[#This Row],[Unit Change]]),$H$32)</f>
        <v>0</v>
      </c>
      <c r="I46" s="1">
        <f>IFERROR(IF(SIN(RADIANS(Basement[[#This Row],[Angular Direction]]))*Basement[[#This Row],[Unit Change]]=0,I45,I45+SIN(RADIANS(Basement[[#This Row],[Angular Direction]]))*Basement[[#This Row],[Unit Change]]),$I$32)</f>
        <v>0</v>
      </c>
      <c r="J46" s="1">
        <f>H45*Basement[[#This Row],[Y-Axis]]-I45*Basement[[#This Row],[X-Axis]]</f>
        <v>0</v>
      </c>
      <c r="K46" s="1">
        <f>'1st Floor'!J49-Basement[[#This Row],[Area Sum]]</f>
        <v>0</v>
      </c>
    </row>
    <row r="47" spans="1:11" x14ac:dyDescent="0.45">
      <c r="A47">
        <v>15</v>
      </c>
      <c r="B47" s="34"/>
      <c r="C47" s="35"/>
      <c r="D47" s="34"/>
      <c r="E47" s="34"/>
      <c r="F47">
        <f>Basement[[#This Row],[Unit Change]]+$B$30*2</f>
        <v>0</v>
      </c>
      <c r="G47" t="str">
        <f>_xlfn.IFNA(IF(Basement[[#This Row],[Custom Angular Direction]]="",INDEX(Direction[Degree],MATCH(Basement[[#This Row],[Direction]],Direction[Direction],0)),Basement[[#This Row],[Custom Angular Direction]]),"")</f>
        <v/>
      </c>
      <c r="H47" s="1">
        <f>IFERROR(IF(COS(RADIANS(Basement[[#This Row],[Angular Direction]]))*Basement[[#This Row],[Unit Change]]=0,H46,H46+COS(RADIANS(Basement[[#This Row],[Angular Direction]]))*Basement[[#This Row],[Unit Change]]),$H$32)</f>
        <v>0</v>
      </c>
      <c r="I47" s="1">
        <f>IFERROR(IF(SIN(RADIANS(Basement[[#This Row],[Angular Direction]]))*Basement[[#This Row],[Unit Change]]=0,I46,I46+SIN(RADIANS(Basement[[#This Row],[Angular Direction]]))*Basement[[#This Row],[Unit Change]]),$I$32)</f>
        <v>0</v>
      </c>
      <c r="J47" s="1">
        <f>H46*Basement[[#This Row],[Y-Axis]]-I46*Basement[[#This Row],[X-Axis]]</f>
        <v>0</v>
      </c>
      <c r="K47" s="1">
        <f>'1st Floor'!J50-Basement[[#This Row],[Area Sum]]</f>
        <v>0</v>
      </c>
    </row>
    <row r="48" spans="1:11" x14ac:dyDescent="0.45">
      <c r="A48">
        <v>16</v>
      </c>
      <c r="B48" s="34"/>
      <c r="C48" s="35"/>
      <c r="D48" s="34"/>
      <c r="E48" s="34"/>
      <c r="F48">
        <f>Basement[[#This Row],[Unit Change]]+$B$30*2</f>
        <v>0</v>
      </c>
      <c r="G48" t="str">
        <f>_xlfn.IFNA(IF(Basement[[#This Row],[Custom Angular Direction]]="",INDEX(Direction[Degree],MATCH(Basement[[#This Row],[Direction]],Direction[Direction],0)),Basement[[#This Row],[Custom Angular Direction]]),"")</f>
        <v/>
      </c>
      <c r="H48" s="1">
        <f>IFERROR(IF(COS(RADIANS(Basement[[#This Row],[Angular Direction]]))*Basement[[#This Row],[Unit Change]]=0,H47,H47+COS(RADIANS(Basement[[#This Row],[Angular Direction]]))*Basement[[#This Row],[Unit Change]]),$H$32)</f>
        <v>0</v>
      </c>
      <c r="I48" s="1">
        <f>IFERROR(IF(SIN(RADIANS(Basement[[#This Row],[Angular Direction]]))*Basement[[#This Row],[Unit Change]]=0,I47,I47+SIN(RADIANS(Basement[[#This Row],[Angular Direction]]))*Basement[[#This Row],[Unit Change]]),$I$32)</f>
        <v>0</v>
      </c>
      <c r="J48" s="1">
        <f>H47*Basement[[#This Row],[Y-Axis]]-I47*Basement[[#This Row],[X-Axis]]</f>
        <v>0</v>
      </c>
      <c r="K48" s="1">
        <f>'1st Floor'!J51-Basement[[#This Row],[Area Sum]]</f>
        <v>0</v>
      </c>
    </row>
    <row r="49" spans="1:11" x14ac:dyDescent="0.45">
      <c r="A49">
        <v>17</v>
      </c>
      <c r="B49" s="34"/>
      <c r="C49" s="35"/>
      <c r="D49" s="34"/>
      <c r="E49" s="34"/>
      <c r="F49">
        <f>Basement[[#This Row],[Unit Change]]+$B$30*2</f>
        <v>0</v>
      </c>
      <c r="G49" t="str">
        <f>_xlfn.IFNA(IF(Basement[[#This Row],[Custom Angular Direction]]="",INDEX(Direction[Degree],MATCH(Basement[[#This Row],[Direction]],Direction[Direction],0)),Basement[[#This Row],[Custom Angular Direction]]),"")</f>
        <v/>
      </c>
      <c r="H49" s="1">
        <f>IFERROR(IF(COS(RADIANS(Basement[[#This Row],[Angular Direction]]))*Basement[[#This Row],[Unit Change]]=0,H48,H48+COS(RADIANS(Basement[[#This Row],[Angular Direction]]))*Basement[[#This Row],[Unit Change]]),$H$32)</f>
        <v>0</v>
      </c>
      <c r="I49" s="1">
        <f>IFERROR(IF(SIN(RADIANS(Basement[[#This Row],[Angular Direction]]))*Basement[[#This Row],[Unit Change]]=0,I48,I48+SIN(RADIANS(Basement[[#This Row],[Angular Direction]]))*Basement[[#This Row],[Unit Change]]),$I$32)</f>
        <v>0</v>
      </c>
      <c r="J49" s="1">
        <f>H48*Basement[[#This Row],[Y-Axis]]-I48*Basement[[#This Row],[X-Axis]]</f>
        <v>0</v>
      </c>
      <c r="K49" s="1">
        <f>'1st Floor'!J52-Basement[[#This Row],[Area Sum]]</f>
        <v>0</v>
      </c>
    </row>
    <row r="50" spans="1:11" x14ac:dyDescent="0.45">
      <c r="A50">
        <v>18</v>
      </c>
      <c r="B50" s="34"/>
      <c r="C50" s="35"/>
      <c r="D50" s="34"/>
      <c r="E50" s="34"/>
      <c r="F50">
        <f>Basement[[#This Row],[Unit Change]]+$B$30*2</f>
        <v>0</v>
      </c>
      <c r="G50" t="str">
        <f>_xlfn.IFNA(IF(Basement[[#This Row],[Custom Angular Direction]]="",INDEX(Direction[Degree],MATCH(Basement[[#This Row],[Direction]],Direction[Direction],0)),Basement[[#This Row],[Custom Angular Direction]]),"")</f>
        <v/>
      </c>
      <c r="H50" s="1">
        <f>IFERROR(IF(COS(RADIANS(Basement[[#This Row],[Angular Direction]]))*Basement[[#This Row],[Unit Change]]=0,H49,H49+COS(RADIANS(Basement[[#This Row],[Angular Direction]]))*Basement[[#This Row],[Unit Change]]),$H$32)</f>
        <v>0</v>
      </c>
      <c r="I50" s="1">
        <f>IFERROR(IF(SIN(RADIANS(Basement[[#This Row],[Angular Direction]]))*Basement[[#This Row],[Unit Change]]=0,I49,I49+SIN(RADIANS(Basement[[#This Row],[Angular Direction]]))*Basement[[#This Row],[Unit Change]]),$I$32)</f>
        <v>0</v>
      </c>
      <c r="J50" s="1">
        <f>H49*Basement[[#This Row],[Y-Axis]]-I49*Basement[[#This Row],[X-Axis]]</f>
        <v>0</v>
      </c>
      <c r="K50" s="1">
        <f>'1st Floor'!J53-Basement[[#This Row],[Area Sum]]</f>
        <v>0</v>
      </c>
    </row>
    <row r="51" spans="1:11" x14ac:dyDescent="0.45">
      <c r="A51">
        <v>19</v>
      </c>
      <c r="B51" s="34"/>
      <c r="C51" s="35"/>
      <c r="D51" s="34"/>
      <c r="E51" s="34"/>
      <c r="F51">
        <f>Basement[[#This Row],[Unit Change]]+$B$30*2</f>
        <v>0</v>
      </c>
      <c r="G51" t="str">
        <f>_xlfn.IFNA(IF(Basement[[#This Row],[Custom Angular Direction]]="",INDEX(Direction[Degree],MATCH(Basement[[#This Row],[Direction]],Direction[Direction],0)),Basement[[#This Row],[Custom Angular Direction]]),"")</f>
        <v/>
      </c>
      <c r="H51" s="1">
        <f>IFERROR(IF(COS(RADIANS(Basement[[#This Row],[Angular Direction]]))*Basement[[#This Row],[Unit Change]]=0,H50,H50+COS(RADIANS(Basement[[#This Row],[Angular Direction]]))*Basement[[#This Row],[Unit Change]]),$H$32)</f>
        <v>0</v>
      </c>
      <c r="I51" s="1">
        <f>IFERROR(IF(SIN(RADIANS(Basement[[#This Row],[Angular Direction]]))*Basement[[#This Row],[Unit Change]]=0,I50,I50+SIN(RADIANS(Basement[[#This Row],[Angular Direction]]))*Basement[[#This Row],[Unit Change]]),$I$32)</f>
        <v>0</v>
      </c>
      <c r="J51" s="1">
        <f>H50*Basement[[#This Row],[Y-Axis]]-I50*Basement[[#This Row],[X-Axis]]</f>
        <v>0</v>
      </c>
      <c r="K51" s="1">
        <f>'1st Floor'!J54-Basement[[#This Row],[Area Sum]]</f>
        <v>0</v>
      </c>
    </row>
    <row r="52" spans="1:11" x14ac:dyDescent="0.45">
      <c r="A52">
        <v>20</v>
      </c>
      <c r="B52" s="34"/>
      <c r="C52" s="35"/>
      <c r="D52" s="34"/>
      <c r="E52" s="34"/>
      <c r="F52">
        <f>Basement[[#This Row],[Unit Change]]+$B$30*2</f>
        <v>0</v>
      </c>
      <c r="G52" t="str">
        <f>_xlfn.IFNA(IF(Basement[[#This Row],[Custom Angular Direction]]="",INDEX(Direction[Degree],MATCH(Basement[[#This Row],[Direction]],Direction[Direction],0)),Basement[[#This Row],[Custom Angular Direction]]),"")</f>
        <v/>
      </c>
      <c r="H52" s="1">
        <f>IFERROR(IF(COS(RADIANS(Basement[[#This Row],[Angular Direction]]))*Basement[[#This Row],[Unit Change]]=0,H51,H51+COS(RADIANS(Basement[[#This Row],[Angular Direction]]))*Basement[[#This Row],[Unit Change]]),$H$32)</f>
        <v>0</v>
      </c>
      <c r="I52" s="1">
        <f>IFERROR(IF(SIN(RADIANS(Basement[[#This Row],[Angular Direction]]))*Basement[[#This Row],[Unit Change]]=0,I51,I51+SIN(RADIANS(Basement[[#This Row],[Angular Direction]]))*Basement[[#This Row],[Unit Change]]),$I$32)</f>
        <v>0</v>
      </c>
      <c r="J52" s="1">
        <f>H51*Basement[[#This Row],[Y-Axis]]-I51*Basement[[#This Row],[X-Axis]]</f>
        <v>0</v>
      </c>
      <c r="K52" s="1">
        <f>'1st Floor'!J55-Basement[[#This Row],[Area Sum]]</f>
        <v>0</v>
      </c>
    </row>
    <row r="53" spans="1:11" x14ac:dyDescent="0.45">
      <c r="A53">
        <v>21</v>
      </c>
      <c r="B53" s="34"/>
      <c r="C53" s="35"/>
      <c r="D53" s="34"/>
      <c r="E53" s="34"/>
      <c r="F53">
        <f>Basement[[#This Row],[Unit Change]]+$B$30*2</f>
        <v>0</v>
      </c>
      <c r="G53" t="str">
        <f>_xlfn.IFNA(IF(Basement[[#This Row],[Custom Angular Direction]]="",INDEX(Direction[Degree],MATCH(Basement[[#This Row],[Direction]],Direction[Direction],0)),Basement[[#This Row],[Custom Angular Direction]]),"")</f>
        <v/>
      </c>
      <c r="H53" s="1">
        <f>IFERROR(IF(COS(RADIANS(Basement[[#This Row],[Angular Direction]]))*Basement[[#This Row],[Unit Change]]=0,H52,H52+COS(RADIANS(Basement[[#This Row],[Angular Direction]]))*Basement[[#This Row],[Unit Change]]),$H$32)</f>
        <v>0</v>
      </c>
      <c r="I53" s="1">
        <f>IFERROR(IF(SIN(RADIANS(Basement[[#This Row],[Angular Direction]]))*Basement[[#This Row],[Unit Change]]=0,I52,I52+SIN(RADIANS(Basement[[#This Row],[Angular Direction]]))*Basement[[#This Row],[Unit Change]]),$I$32)</f>
        <v>0</v>
      </c>
      <c r="J53" s="1">
        <f>H52*Basement[[#This Row],[Y-Axis]]-I52*Basement[[#This Row],[X-Axis]]</f>
        <v>0</v>
      </c>
      <c r="K53" s="1">
        <f>'1st Floor'!J56-Basement[[#This Row],[Area Sum]]</f>
        <v>0</v>
      </c>
    </row>
    <row r="54" spans="1:11" x14ac:dyDescent="0.45">
      <c r="A54">
        <v>22</v>
      </c>
      <c r="B54" s="34"/>
      <c r="C54" s="35"/>
      <c r="D54" s="34"/>
      <c r="E54" s="34"/>
      <c r="F54">
        <f>Basement[[#This Row],[Unit Change]]+$B$30*2</f>
        <v>0</v>
      </c>
      <c r="G54" t="str">
        <f>_xlfn.IFNA(IF(Basement[[#This Row],[Custom Angular Direction]]="",INDEX(Direction[Degree],MATCH(Basement[[#This Row],[Direction]],Direction[Direction],0)),Basement[[#This Row],[Custom Angular Direction]]),"")</f>
        <v/>
      </c>
      <c r="H54" s="1">
        <f>IFERROR(IF(COS(RADIANS(Basement[[#This Row],[Angular Direction]]))*Basement[[#This Row],[Unit Change]]=0,H53,H53+COS(RADIANS(Basement[[#This Row],[Angular Direction]]))*Basement[[#This Row],[Unit Change]]),$H$32)</f>
        <v>0</v>
      </c>
      <c r="I54" s="1">
        <f>IFERROR(IF(SIN(RADIANS(Basement[[#This Row],[Angular Direction]]))*Basement[[#This Row],[Unit Change]]=0,I53,I53+SIN(RADIANS(Basement[[#This Row],[Angular Direction]]))*Basement[[#This Row],[Unit Change]]),$I$32)</f>
        <v>0</v>
      </c>
      <c r="J54" s="1">
        <f>H53*Basement[[#This Row],[Y-Axis]]-I53*Basement[[#This Row],[X-Axis]]</f>
        <v>0</v>
      </c>
      <c r="K54" s="1">
        <f>'1st Floor'!J57-Basement[[#This Row],[Area Sum]]</f>
        <v>0</v>
      </c>
    </row>
    <row r="55" spans="1:11" x14ac:dyDescent="0.45">
      <c r="A55">
        <v>23</v>
      </c>
      <c r="B55" s="34"/>
      <c r="C55" s="35"/>
      <c r="D55" s="34"/>
      <c r="E55" s="34"/>
      <c r="F55">
        <f>Basement[[#This Row],[Unit Change]]+$B$30*2</f>
        <v>0</v>
      </c>
      <c r="G55" t="str">
        <f>_xlfn.IFNA(IF(Basement[[#This Row],[Custom Angular Direction]]="",INDEX(Direction[Degree],MATCH(Basement[[#This Row],[Direction]],Direction[Direction],0)),Basement[[#This Row],[Custom Angular Direction]]),"")</f>
        <v/>
      </c>
      <c r="H55" s="1">
        <f>IFERROR(IF(COS(RADIANS(Basement[[#This Row],[Angular Direction]]))*Basement[[#This Row],[Unit Change]]=0,H54,H54+COS(RADIANS(Basement[[#This Row],[Angular Direction]]))*Basement[[#This Row],[Unit Change]]),$H$32)</f>
        <v>0</v>
      </c>
      <c r="I55" s="1">
        <f>IFERROR(IF(SIN(RADIANS(Basement[[#This Row],[Angular Direction]]))*Basement[[#This Row],[Unit Change]]=0,I54,I54+SIN(RADIANS(Basement[[#This Row],[Angular Direction]]))*Basement[[#This Row],[Unit Change]]),$I$32)</f>
        <v>0</v>
      </c>
      <c r="J55" s="1">
        <f>H54*Basement[[#This Row],[Y-Axis]]-I54*Basement[[#This Row],[X-Axis]]</f>
        <v>0</v>
      </c>
      <c r="K55" s="1">
        <f>'1st Floor'!J58-Basement[[#This Row],[Area Sum]]</f>
        <v>0</v>
      </c>
    </row>
    <row r="56" spans="1:11" x14ac:dyDescent="0.45">
      <c r="A56">
        <v>24</v>
      </c>
      <c r="B56" s="34"/>
      <c r="C56" s="35"/>
      <c r="D56" s="34"/>
      <c r="E56" s="34"/>
      <c r="F56">
        <f>Basement[[#This Row],[Unit Change]]+$B$30*2</f>
        <v>0</v>
      </c>
      <c r="G56" t="str">
        <f>_xlfn.IFNA(IF(Basement[[#This Row],[Custom Angular Direction]]="",INDEX(Direction[Degree],MATCH(Basement[[#This Row],[Direction]],Direction[Direction],0)),Basement[[#This Row],[Custom Angular Direction]]),"")</f>
        <v/>
      </c>
      <c r="H56" s="1">
        <f>IFERROR(IF(COS(RADIANS(Basement[[#This Row],[Angular Direction]]))*Basement[[#This Row],[Unit Change]]=0,H55,H55+COS(RADIANS(Basement[[#This Row],[Angular Direction]]))*Basement[[#This Row],[Unit Change]]),$H$32)</f>
        <v>0</v>
      </c>
      <c r="I56" s="1">
        <f>IFERROR(IF(SIN(RADIANS(Basement[[#This Row],[Angular Direction]]))*Basement[[#This Row],[Unit Change]]=0,I55,I55+SIN(RADIANS(Basement[[#This Row],[Angular Direction]]))*Basement[[#This Row],[Unit Change]]),$I$32)</f>
        <v>0</v>
      </c>
      <c r="J56" s="1">
        <f>H55*Basement[[#This Row],[Y-Axis]]-I55*Basement[[#This Row],[X-Axis]]</f>
        <v>0</v>
      </c>
      <c r="K56" s="1">
        <f>'1st Floor'!J59-Basement[[#This Row],[Area Sum]]</f>
        <v>0</v>
      </c>
    </row>
    <row r="57" spans="1:11" x14ac:dyDescent="0.45">
      <c r="A57">
        <v>25</v>
      </c>
      <c r="B57" s="34"/>
      <c r="C57" s="35"/>
      <c r="D57" s="34"/>
      <c r="E57" s="34"/>
      <c r="F57">
        <f>Basement[[#This Row],[Unit Change]]+$B$30*2</f>
        <v>0</v>
      </c>
      <c r="G57" t="str">
        <f>_xlfn.IFNA(IF(Basement[[#This Row],[Custom Angular Direction]]="",INDEX(Direction[Degree],MATCH(Basement[[#This Row],[Direction]],Direction[Direction],0)),Basement[[#This Row],[Custom Angular Direction]]),"")</f>
        <v/>
      </c>
      <c r="H57" s="1">
        <f>IFERROR(IF(COS(RADIANS(Basement[[#This Row],[Angular Direction]]))*Basement[[#This Row],[Unit Change]]=0,H56,H56+COS(RADIANS(Basement[[#This Row],[Angular Direction]]))*Basement[[#This Row],[Unit Change]]),$H$32)</f>
        <v>0</v>
      </c>
      <c r="I57" s="1">
        <f>IFERROR(IF(SIN(RADIANS(Basement[[#This Row],[Angular Direction]]))*Basement[[#This Row],[Unit Change]]=0,I56,I56+SIN(RADIANS(Basement[[#This Row],[Angular Direction]]))*Basement[[#This Row],[Unit Change]]),$I$32)</f>
        <v>0</v>
      </c>
      <c r="J57" s="1">
        <f>H56*Basement[[#This Row],[Y-Axis]]-I56*Basement[[#This Row],[X-Axis]]</f>
        <v>0</v>
      </c>
      <c r="K57" s="1">
        <f>'1st Floor'!J60-Basement[[#This Row],[Area Sum]]</f>
        <v>0</v>
      </c>
    </row>
    <row r="58" spans="1:11" x14ac:dyDescent="0.45">
      <c r="A58">
        <v>26</v>
      </c>
      <c r="B58" s="34"/>
      <c r="C58" s="35"/>
      <c r="D58" s="34"/>
      <c r="E58" s="34"/>
      <c r="F58">
        <f>Basement[[#This Row],[Unit Change]]+$B$30*2</f>
        <v>0</v>
      </c>
      <c r="G58" t="str">
        <f>_xlfn.IFNA(IF(Basement[[#This Row],[Custom Angular Direction]]="",INDEX(Direction[Degree],MATCH(Basement[[#This Row],[Direction]],Direction[Direction],0)),Basement[[#This Row],[Custom Angular Direction]]),"")</f>
        <v/>
      </c>
      <c r="H58" s="1">
        <f>IFERROR(IF(COS(RADIANS(Basement[[#This Row],[Angular Direction]]))*Basement[[#This Row],[Unit Change]]=0,H57,H57+COS(RADIANS(Basement[[#This Row],[Angular Direction]]))*Basement[[#This Row],[Unit Change]]),$H$32)</f>
        <v>0</v>
      </c>
      <c r="I58" s="1">
        <f>IFERROR(IF(SIN(RADIANS(Basement[[#This Row],[Angular Direction]]))*Basement[[#This Row],[Unit Change]]=0,I57,I57+SIN(RADIANS(Basement[[#This Row],[Angular Direction]]))*Basement[[#This Row],[Unit Change]]),$I$32)</f>
        <v>0</v>
      </c>
      <c r="J58" s="1">
        <f>H57*Basement[[#This Row],[Y-Axis]]-I57*Basement[[#This Row],[X-Axis]]</f>
        <v>0</v>
      </c>
      <c r="K58" s="1">
        <f>'1st Floor'!J61-Basement[[#This Row],[Area Sum]]</f>
        <v>0</v>
      </c>
    </row>
    <row r="59" spans="1:11" x14ac:dyDescent="0.45">
      <c r="A59">
        <v>27</v>
      </c>
      <c r="B59" s="34"/>
      <c r="C59" s="35"/>
      <c r="D59" s="34"/>
      <c r="E59" s="34"/>
      <c r="F59">
        <f>Basement[[#This Row],[Unit Change]]+$B$30*2</f>
        <v>0</v>
      </c>
      <c r="G59" t="str">
        <f>_xlfn.IFNA(IF(Basement[[#This Row],[Custom Angular Direction]]="",INDEX(Direction[Degree],MATCH(Basement[[#This Row],[Direction]],Direction[Direction],0)),Basement[[#This Row],[Custom Angular Direction]]),"")</f>
        <v/>
      </c>
      <c r="H59" s="1">
        <f>IFERROR(IF(COS(RADIANS(Basement[[#This Row],[Angular Direction]]))*Basement[[#This Row],[Unit Change]]=0,H58,H58+COS(RADIANS(Basement[[#This Row],[Angular Direction]]))*Basement[[#This Row],[Unit Change]]),$H$32)</f>
        <v>0</v>
      </c>
      <c r="I59" s="1">
        <f>IFERROR(IF(SIN(RADIANS(Basement[[#This Row],[Angular Direction]]))*Basement[[#This Row],[Unit Change]]=0,I58,I58+SIN(RADIANS(Basement[[#This Row],[Angular Direction]]))*Basement[[#This Row],[Unit Change]]),$I$32)</f>
        <v>0</v>
      </c>
      <c r="J59" s="1">
        <f>H58*Basement[[#This Row],[Y-Axis]]-I58*Basement[[#This Row],[X-Axis]]</f>
        <v>0</v>
      </c>
      <c r="K59" s="1">
        <f>'1st Floor'!J62-Basement[[#This Row],[Area Sum]]</f>
        <v>0</v>
      </c>
    </row>
    <row r="60" spans="1:11" x14ac:dyDescent="0.45">
      <c r="A60">
        <v>28</v>
      </c>
      <c r="B60" s="34"/>
      <c r="C60" s="35"/>
      <c r="D60" s="34"/>
      <c r="E60" s="34"/>
      <c r="F60">
        <f>Basement[[#This Row],[Unit Change]]+$B$30*2</f>
        <v>0</v>
      </c>
      <c r="G60" t="str">
        <f>_xlfn.IFNA(IF(Basement[[#This Row],[Custom Angular Direction]]="",INDEX(Direction[Degree],MATCH(Basement[[#This Row],[Direction]],Direction[Direction],0)),Basement[[#This Row],[Custom Angular Direction]]),"")</f>
        <v/>
      </c>
      <c r="H60" s="1">
        <f>IFERROR(IF(COS(RADIANS(Basement[[#This Row],[Angular Direction]]))*Basement[[#This Row],[Unit Change]]=0,H59,H59+COS(RADIANS(Basement[[#This Row],[Angular Direction]]))*Basement[[#This Row],[Unit Change]]),$H$32)</f>
        <v>0</v>
      </c>
      <c r="I60" s="1">
        <f>IFERROR(IF(SIN(RADIANS(Basement[[#This Row],[Angular Direction]]))*Basement[[#This Row],[Unit Change]]=0,I59,I59+SIN(RADIANS(Basement[[#This Row],[Angular Direction]]))*Basement[[#This Row],[Unit Change]]),$I$32)</f>
        <v>0</v>
      </c>
      <c r="J60" s="1">
        <f>H59*Basement[[#This Row],[Y-Axis]]-I59*Basement[[#This Row],[X-Axis]]</f>
        <v>0</v>
      </c>
      <c r="K60" s="1">
        <f>'1st Floor'!J63-Basement[[#This Row],[Area Sum]]</f>
        <v>0</v>
      </c>
    </row>
    <row r="61" spans="1:11" x14ac:dyDescent="0.45">
      <c r="A61">
        <v>29</v>
      </c>
      <c r="B61" s="34"/>
      <c r="C61" s="35"/>
      <c r="D61" s="34"/>
      <c r="E61" s="34"/>
      <c r="F61">
        <f>Basement[[#This Row],[Unit Change]]+$B$30*2</f>
        <v>0</v>
      </c>
      <c r="G61" t="str">
        <f>_xlfn.IFNA(IF(Basement[[#This Row],[Custom Angular Direction]]="",INDEX(Direction[Degree],MATCH(Basement[[#This Row],[Direction]],Direction[Direction],0)),Basement[[#This Row],[Custom Angular Direction]]),"")</f>
        <v/>
      </c>
      <c r="H61" s="1">
        <f>IFERROR(IF(COS(RADIANS(Basement[[#This Row],[Angular Direction]]))*Basement[[#This Row],[Unit Change]]=0,H60,H60+COS(RADIANS(Basement[[#This Row],[Angular Direction]]))*Basement[[#This Row],[Unit Change]]),$H$32)</f>
        <v>0</v>
      </c>
      <c r="I61" s="1">
        <f>IFERROR(IF(SIN(RADIANS(Basement[[#This Row],[Angular Direction]]))*Basement[[#This Row],[Unit Change]]=0,I60,I60+SIN(RADIANS(Basement[[#This Row],[Angular Direction]]))*Basement[[#This Row],[Unit Change]]),$I$32)</f>
        <v>0</v>
      </c>
      <c r="J61" s="1">
        <f>H60*Basement[[#This Row],[Y-Axis]]-I60*Basement[[#This Row],[X-Axis]]</f>
        <v>0</v>
      </c>
      <c r="K61" s="1">
        <f>'1st Floor'!J64-Basement[[#This Row],[Area Sum]]</f>
        <v>0</v>
      </c>
    </row>
    <row r="62" spans="1:11" x14ac:dyDescent="0.45">
      <c r="A62">
        <v>30</v>
      </c>
      <c r="B62" s="34"/>
      <c r="C62" s="35"/>
      <c r="D62" s="34"/>
      <c r="E62" s="34"/>
      <c r="F62">
        <f>Basement[[#This Row],[Unit Change]]+$B$30*2</f>
        <v>0</v>
      </c>
      <c r="G62" t="str">
        <f>_xlfn.IFNA(IF(Basement[[#This Row],[Custom Angular Direction]]="",INDEX(Direction[Degree],MATCH(Basement[[#This Row],[Direction]],Direction[Direction],0)),Basement[[#This Row],[Custom Angular Direction]]),"")</f>
        <v/>
      </c>
      <c r="H62" s="1">
        <f>IFERROR(IF(COS(RADIANS(Basement[[#This Row],[Angular Direction]]))*Basement[[#This Row],[Unit Change]]=0,H61,H61+COS(RADIANS(Basement[[#This Row],[Angular Direction]]))*Basement[[#This Row],[Unit Change]]),$H$32)</f>
        <v>0</v>
      </c>
      <c r="I62" s="1">
        <f>IFERROR(IF(SIN(RADIANS(Basement[[#This Row],[Angular Direction]]))*Basement[[#This Row],[Unit Change]]=0,I61,I61+SIN(RADIANS(Basement[[#This Row],[Angular Direction]]))*Basement[[#This Row],[Unit Change]]),$I$32)</f>
        <v>0</v>
      </c>
      <c r="J62" s="1">
        <f>H61*Basement[[#This Row],[Y-Axis]]-I61*Basement[[#This Row],[X-Axis]]</f>
        <v>0</v>
      </c>
      <c r="K62" s="1">
        <f>'1st Floor'!J65-Basement[[#This Row],[Area Sum]]</f>
        <v>0</v>
      </c>
    </row>
    <row r="63" spans="1:11" x14ac:dyDescent="0.45">
      <c r="G63" s="1"/>
      <c r="H63" s="1"/>
      <c r="I63" s="1"/>
    </row>
    <row r="64" spans="1:11" x14ac:dyDescent="0.45">
      <c r="G64" s="1"/>
      <c r="H64" s="1"/>
      <c r="I64" s="1"/>
    </row>
    <row r="65" spans="7:9" x14ac:dyDescent="0.45">
      <c r="G65" s="1"/>
      <c r="H65" s="1"/>
      <c r="I65" s="1"/>
    </row>
    <row r="66" spans="7:9" x14ac:dyDescent="0.45">
      <c r="G66" s="1"/>
      <c r="H66" s="1"/>
      <c r="I66" s="1"/>
    </row>
    <row r="67" spans="7:9" x14ac:dyDescent="0.45">
      <c r="G67" s="1"/>
      <c r="H67" s="1"/>
      <c r="I67" s="1"/>
    </row>
    <row r="68" spans="7:9" x14ac:dyDescent="0.45">
      <c r="G68" s="1"/>
      <c r="H68" s="1"/>
      <c r="I68" s="1"/>
    </row>
    <row r="69" spans="7:9" x14ac:dyDescent="0.45">
      <c r="G69" s="1"/>
      <c r="H69" s="1"/>
      <c r="I69" s="1"/>
    </row>
    <row r="70" spans="7:9" x14ac:dyDescent="0.45">
      <c r="G70" s="1"/>
      <c r="H70" s="1"/>
      <c r="I70" s="1"/>
    </row>
    <row r="71" spans="7:9" x14ac:dyDescent="0.45">
      <c r="G71" s="1"/>
      <c r="H71" s="1"/>
      <c r="I71" s="1"/>
    </row>
    <row r="72" spans="7:9" x14ac:dyDescent="0.45">
      <c r="G72" s="1"/>
      <c r="H72" s="1"/>
      <c r="I72" s="1"/>
    </row>
    <row r="73" spans="7:9" x14ac:dyDescent="0.45">
      <c r="G73" s="1"/>
      <c r="H73" s="1"/>
      <c r="I73" s="1"/>
    </row>
    <row r="74" spans="7:9" x14ac:dyDescent="0.45">
      <c r="G74" s="1"/>
      <c r="H74" s="1"/>
      <c r="I74" s="1"/>
    </row>
    <row r="75" spans="7:9" x14ac:dyDescent="0.45">
      <c r="G75" s="1"/>
      <c r="H75" s="1"/>
      <c r="I75" s="1"/>
    </row>
    <row r="76" spans="7:9" x14ac:dyDescent="0.45">
      <c r="G76" s="1"/>
      <c r="H76" s="1"/>
      <c r="I76" s="1"/>
    </row>
    <row r="77" spans="7:9" x14ac:dyDescent="0.45">
      <c r="G77" s="1"/>
      <c r="H77" s="1"/>
      <c r="I77" s="1"/>
    </row>
    <row r="78" spans="7:9" x14ac:dyDescent="0.45">
      <c r="G78" s="1"/>
      <c r="H78" s="1"/>
      <c r="I78" s="1"/>
    </row>
    <row r="79" spans="7:9" x14ac:dyDescent="0.45">
      <c r="G79" s="1"/>
      <c r="H79" s="1"/>
      <c r="I79" s="1"/>
    </row>
    <row r="80" spans="7:9" x14ac:dyDescent="0.45">
      <c r="G80" s="1"/>
      <c r="H80" s="1"/>
      <c r="I80" s="1"/>
    </row>
    <row r="81" spans="7:9" x14ac:dyDescent="0.45">
      <c r="G81" s="1"/>
      <c r="H81" s="1"/>
      <c r="I81" s="1"/>
    </row>
    <row r="82" spans="7:9" x14ac:dyDescent="0.45">
      <c r="G82" s="1"/>
      <c r="H82" s="1"/>
      <c r="I82" s="1"/>
    </row>
    <row r="83" spans="7:9" x14ac:dyDescent="0.45">
      <c r="G83" s="1"/>
      <c r="H83" s="1"/>
      <c r="I83" s="1"/>
    </row>
    <row r="84" spans="7:9" x14ac:dyDescent="0.45">
      <c r="G84" s="1"/>
      <c r="H84" s="1"/>
      <c r="I84" s="1"/>
    </row>
    <row r="85" spans="7:9" x14ac:dyDescent="0.45">
      <c r="G85" s="1"/>
      <c r="H85" s="1"/>
      <c r="I85" s="1"/>
    </row>
    <row r="86" spans="7:9" x14ac:dyDescent="0.45">
      <c r="G86" s="1"/>
      <c r="H86" s="1"/>
      <c r="I86" s="1"/>
    </row>
    <row r="87" spans="7:9" x14ac:dyDescent="0.45">
      <c r="G87" s="1"/>
      <c r="H87" s="1"/>
      <c r="I87" s="1"/>
    </row>
    <row r="88" spans="7:9" x14ac:dyDescent="0.45">
      <c r="G88" s="1"/>
      <c r="H88" s="1"/>
      <c r="I88" s="1"/>
    </row>
    <row r="89" spans="7:9" x14ac:dyDescent="0.45">
      <c r="G89" s="1"/>
      <c r="H89" s="1"/>
      <c r="I89" s="1"/>
    </row>
    <row r="90" spans="7:9" x14ac:dyDescent="0.45">
      <c r="G90" s="1"/>
      <c r="H90" s="1"/>
      <c r="I90" s="1"/>
    </row>
    <row r="91" spans="7:9" x14ac:dyDescent="0.45">
      <c r="G91" s="1"/>
      <c r="H91" s="1"/>
      <c r="I91" s="1"/>
    </row>
    <row r="92" spans="7:9" x14ac:dyDescent="0.45">
      <c r="G92" s="1"/>
      <c r="H92" s="1"/>
      <c r="I92" s="1"/>
    </row>
    <row r="93" spans="7:9" x14ac:dyDescent="0.45">
      <c r="G93" s="1"/>
      <c r="H93" s="1"/>
      <c r="I93" s="1"/>
    </row>
    <row r="94" spans="7:9" x14ac:dyDescent="0.45">
      <c r="G94" s="1"/>
      <c r="H94" s="1"/>
      <c r="I94" s="1"/>
    </row>
    <row r="95" spans="7:9" x14ac:dyDescent="0.45">
      <c r="G95" s="1"/>
      <c r="H95" s="1"/>
      <c r="I95" s="1"/>
    </row>
    <row r="96" spans="7:9" x14ac:dyDescent="0.45">
      <c r="G96" s="1"/>
      <c r="H96" s="1"/>
      <c r="I96" s="1"/>
    </row>
    <row r="97" spans="7:9" x14ac:dyDescent="0.45">
      <c r="G97" s="1"/>
      <c r="H97" s="1"/>
      <c r="I97" s="1"/>
    </row>
  </sheetData>
  <mergeCells count="2">
    <mergeCell ref="A5:C5"/>
    <mergeCell ref="A29:K29"/>
  </mergeCells>
  <dataValidations count="1">
    <dataValidation type="list" allowBlank="1" showInputMessage="1" showErrorMessage="1" sqref="E33:E62" xr:uid="{93BDA71D-86EE-4388-BB2E-496FDBE0F05A}">
      <formula1>$A$11:$A$15</formula1>
    </dataValidation>
  </dataValidations>
  <pageMargins left="0.7" right="0.7" top="0.75" bottom="0.75" header="0.3" footer="0.3"/>
  <pageSetup orientation="portrait" horizontalDpi="1200" verticalDpi="1200" r:id="rId1"/>
  <drawing r:id="rId2"/>
  <tableParts count="3">
    <tablePart r:id="rId3"/>
    <tablePart r:id="rId4"/>
    <tablePart r:id="rId5"/>
  </tableParts>
  <extLst>
    <ext xmlns:x14="http://schemas.microsoft.com/office/spreadsheetml/2009/9/main" uri="{CCE6A557-97BC-4b89-ADB6-D9C93CAAB3DF}">
      <x14:dataValidations xmlns:xm="http://schemas.microsoft.com/office/excel/2006/main" count="2">
        <x14:dataValidation type="list" allowBlank="1" showInputMessage="1" showErrorMessage="1" xr:uid="{7C53984E-47B4-4C23-8F86-5BC7EFE04B2E}">
          <x14:formula1>
            <xm:f>Reference!$A$2:$A$9</xm:f>
          </x14:formula1>
          <xm:sqref>D63:D97</xm:sqref>
        </x14:dataValidation>
        <x14:dataValidation type="list" allowBlank="1" showInputMessage="1" showErrorMessage="1" xr:uid="{B7A67308-BDDF-4E42-AA6D-C9F5B3C51D18}">
          <x14:formula1>
            <xm:f>Reference!$A$2:$A$10</xm:f>
          </x14:formula1>
          <xm:sqref>C33:C62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4423D-8B67-4EF2-AE82-2141E8162E44}">
  <sheetPr codeName="Sheet7"/>
  <dimension ref="A1:K10"/>
  <sheetViews>
    <sheetView workbookViewId="0">
      <selection activeCell="G14" sqref="G13:G14"/>
    </sheetView>
  </sheetViews>
  <sheetFormatPr defaultRowHeight="14.25" x14ac:dyDescent="0.45"/>
  <cols>
    <col min="1" max="1" width="14.33203125" bestFit="1" customWidth="1"/>
    <col min="2" max="2" width="10.1328125" customWidth="1"/>
    <col min="8" max="8" width="10.59765625" customWidth="1"/>
    <col min="9" max="9" width="12.19921875" customWidth="1"/>
    <col min="10" max="10" width="10" customWidth="1"/>
    <col min="11" max="11" width="11.1328125" customWidth="1"/>
  </cols>
  <sheetData>
    <row r="1" spans="1:11" x14ac:dyDescent="0.45">
      <c r="A1" t="s">
        <v>9</v>
      </c>
      <c r="B1" t="s">
        <v>0</v>
      </c>
      <c r="D1" t="s">
        <v>75</v>
      </c>
      <c r="E1" t="s">
        <v>3</v>
      </c>
      <c r="F1" t="s">
        <v>78</v>
      </c>
      <c r="G1" t="s">
        <v>4</v>
      </c>
      <c r="H1" t="s">
        <v>79</v>
      </c>
      <c r="I1" t="s">
        <v>141</v>
      </c>
      <c r="J1" t="s">
        <v>80</v>
      </c>
      <c r="K1" t="s">
        <v>81</v>
      </c>
    </row>
    <row r="2" spans="1:11" x14ac:dyDescent="0.45">
      <c r="A2" t="s">
        <v>1</v>
      </c>
      <c r="B2">
        <v>90</v>
      </c>
      <c r="D2" t="s">
        <v>133</v>
      </c>
      <c r="E2" t="s">
        <v>136</v>
      </c>
      <c r="F2" t="s">
        <v>135</v>
      </c>
      <c r="G2" s="26" t="s">
        <v>134</v>
      </c>
      <c r="H2" t="s">
        <v>140</v>
      </c>
      <c r="I2" s="26" t="s">
        <v>137</v>
      </c>
      <c r="J2" t="s">
        <v>139</v>
      </c>
      <c r="K2" s="5" t="s">
        <v>138</v>
      </c>
    </row>
    <row r="3" spans="1:11" x14ac:dyDescent="0.45">
      <c r="A3" t="s">
        <v>2</v>
      </c>
      <c r="B3">
        <v>270</v>
      </c>
      <c r="D3" t="s">
        <v>134</v>
      </c>
      <c r="E3" t="s">
        <v>133</v>
      </c>
      <c r="F3" t="s">
        <v>136</v>
      </c>
      <c r="G3" s="27" t="s">
        <v>135</v>
      </c>
      <c r="H3" t="s">
        <v>137</v>
      </c>
      <c r="I3" s="6" t="s">
        <v>138</v>
      </c>
      <c r="J3" t="s">
        <v>140</v>
      </c>
      <c r="K3" s="27" t="s">
        <v>139</v>
      </c>
    </row>
    <row r="4" spans="1:11" x14ac:dyDescent="0.45">
      <c r="A4" t="s">
        <v>3</v>
      </c>
      <c r="B4">
        <v>180</v>
      </c>
      <c r="D4" t="s">
        <v>135</v>
      </c>
      <c r="E4" t="s">
        <v>134</v>
      </c>
      <c r="F4" t="s">
        <v>133</v>
      </c>
      <c r="G4" s="26" t="s">
        <v>136</v>
      </c>
      <c r="H4" s="6" t="s">
        <v>138</v>
      </c>
      <c r="I4" s="5" t="s">
        <v>139</v>
      </c>
      <c r="J4" t="s">
        <v>137</v>
      </c>
      <c r="K4" s="26" t="s">
        <v>140</v>
      </c>
    </row>
    <row r="5" spans="1:11" x14ac:dyDescent="0.45">
      <c r="A5" t="s">
        <v>4</v>
      </c>
      <c r="B5">
        <v>0</v>
      </c>
      <c r="D5" t="s">
        <v>136</v>
      </c>
      <c r="E5" t="s">
        <v>135</v>
      </c>
      <c r="F5" t="s">
        <v>134</v>
      </c>
      <c r="G5" s="27" t="s">
        <v>133</v>
      </c>
      <c r="H5" s="5" t="s">
        <v>139</v>
      </c>
      <c r="I5" s="27" t="s">
        <v>140</v>
      </c>
      <c r="J5" s="6" t="s">
        <v>138</v>
      </c>
      <c r="K5" s="27" t="s">
        <v>137</v>
      </c>
    </row>
    <row r="6" spans="1:11" x14ac:dyDescent="0.45">
      <c r="A6" t="s">
        <v>5</v>
      </c>
      <c r="B6">
        <v>135</v>
      </c>
      <c r="D6" t="s">
        <v>137</v>
      </c>
      <c r="E6" t="s">
        <v>140</v>
      </c>
      <c r="F6" t="s">
        <v>139</v>
      </c>
      <c r="G6" s="26" t="s">
        <v>138</v>
      </c>
      <c r="H6" t="s">
        <v>134</v>
      </c>
      <c r="I6" s="26" t="s">
        <v>133</v>
      </c>
      <c r="J6" t="s">
        <v>136</v>
      </c>
      <c r="K6" s="26" t="s">
        <v>135</v>
      </c>
    </row>
    <row r="7" spans="1:11" x14ac:dyDescent="0.45">
      <c r="A7" t="s">
        <v>6</v>
      </c>
      <c r="B7">
        <v>45</v>
      </c>
      <c r="D7" t="s">
        <v>138</v>
      </c>
      <c r="E7" t="s">
        <v>137</v>
      </c>
      <c r="F7" t="s">
        <v>140</v>
      </c>
      <c r="G7" s="27" t="s">
        <v>139</v>
      </c>
      <c r="H7" t="s">
        <v>135</v>
      </c>
      <c r="I7" s="27" t="s">
        <v>134</v>
      </c>
      <c r="J7" t="s">
        <v>133</v>
      </c>
      <c r="K7" s="27" t="s">
        <v>136</v>
      </c>
    </row>
    <row r="8" spans="1:11" x14ac:dyDescent="0.45">
      <c r="A8" t="s">
        <v>7</v>
      </c>
      <c r="B8">
        <v>225</v>
      </c>
      <c r="D8" t="s">
        <v>139</v>
      </c>
      <c r="E8" t="s">
        <v>138</v>
      </c>
      <c r="F8" t="s">
        <v>137</v>
      </c>
      <c r="G8" s="26" t="s">
        <v>140</v>
      </c>
      <c r="H8" t="s">
        <v>136</v>
      </c>
      <c r="I8" s="26" t="s">
        <v>135</v>
      </c>
      <c r="J8" t="s">
        <v>134</v>
      </c>
      <c r="K8" s="26" t="s">
        <v>133</v>
      </c>
    </row>
    <row r="9" spans="1:11" x14ac:dyDescent="0.45">
      <c r="A9" t="s">
        <v>8</v>
      </c>
      <c r="B9">
        <v>315</v>
      </c>
      <c r="D9" t="s">
        <v>140</v>
      </c>
      <c r="E9" t="s">
        <v>139</v>
      </c>
      <c r="F9" t="s">
        <v>138</v>
      </c>
      <c r="G9" s="27" t="s">
        <v>137</v>
      </c>
      <c r="H9" t="s">
        <v>133</v>
      </c>
      <c r="I9" s="27" t="s">
        <v>136</v>
      </c>
      <c r="J9" t="s">
        <v>135</v>
      </c>
      <c r="K9" s="27" t="s">
        <v>134</v>
      </c>
    </row>
    <row r="10" spans="1:11" x14ac:dyDescent="0.45">
      <c r="A10" t="s">
        <v>15</v>
      </c>
    </row>
  </sheetData>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76c39681-55ed-4da2-8f7d-ea8b80276f10">AUQDF2ED7Y7S-578057378-6199</_dlc_DocId>
    <_dlc_DocIdUrl xmlns="76c39681-55ed-4da2-8f7d-ea8b80276f10">
      <Url>https://icfonline.sharepoint.com/teams/CED/DukeEnergyRNC/_layouts/15/DocIdRedir.aspx?ID=AUQDF2ED7Y7S-578057378-6199</Url>
      <Description>AUQDF2ED7Y7S-578057378-6199</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B4D880D8A08A884B9623D0A16478B683" ma:contentTypeVersion="291" ma:contentTypeDescription="Create a new document." ma:contentTypeScope="" ma:versionID="2ed564ec6e894960535859a5b1ff02b0">
  <xsd:schema xmlns:xsd="http://www.w3.org/2001/XMLSchema" xmlns:xs="http://www.w3.org/2001/XMLSchema" xmlns:p="http://schemas.microsoft.com/office/2006/metadata/properties" xmlns:ns2="76c39681-55ed-4da2-8f7d-ea8b80276f10" xmlns:ns3="d4661b1e-58c0-4535-90fb-e7e8ecbc9a28" targetNamespace="http://schemas.microsoft.com/office/2006/metadata/properties" ma:root="true" ma:fieldsID="c5fd116bbe60909b6f1165611b50388e" ns2:_="" ns3:_="">
    <xsd:import namespace="76c39681-55ed-4da2-8f7d-ea8b80276f10"/>
    <xsd:import namespace="d4661b1e-58c0-4535-90fb-e7e8ecbc9a2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c39681-55ed-4da2-8f7d-ea8b80276f1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4661b1e-58c0-4535-90fb-e7e8ecbc9a2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99138F-F4A8-4F72-80C2-A56EDE8B0623}">
  <ds:schemaRefs>
    <ds:schemaRef ds:uri="http://schemas.microsoft.com/office/infopath/2007/PartnerControls"/>
    <ds:schemaRef ds:uri="http://schemas.microsoft.com/office/2006/documentManagement/types"/>
    <ds:schemaRef ds:uri="http://purl.org/dc/elements/1.1/"/>
    <ds:schemaRef ds:uri="76c39681-55ed-4da2-8f7d-ea8b80276f10"/>
    <ds:schemaRef ds:uri="http://purl.org/dc/terms/"/>
    <ds:schemaRef ds:uri="http://purl.org/dc/dcmitype/"/>
    <ds:schemaRef ds:uri="http://schemas.openxmlformats.org/package/2006/metadata/core-properties"/>
    <ds:schemaRef ds:uri="d4661b1e-58c0-4535-90fb-e7e8ecbc9a28"/>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932B900-E025-4CA5-9652-C619FDD93E02}">
  <ds:schemaRefs>
    <ds:schemaRef ds:uri="http://schemas.microsoft.com/sharepoint/v3/contenttype/forms"/>
  </ds:schemaRefs>
</ds:datastoreItem>
</file>

<file path=customXml/itemProps3.xml><?xml version="1.0" encoding="utf-8"?>
<ds:datastoreItem xmlns:ds="http://schemas.openxmlformats.org/officeDocument/2006/customXml" ds:itemID="{04CF0CDB-CFBF-4271-B80F-28EC4B8A74AA}">
  <ds:schemaRefs>
    <ds:schemaRef ds:uri="http://schemas.microsoft.com/sharepoint/events"/>
  </ds:schemaRefs>
</ds:datastoreItem>
</file>

<file path=customXml/itemProps4.xml><?xml version="1.0" encoding="utf-8"?>
<ds:datastoreItem xmlns:ds="http://schemas.openxmlformats.org/officeDocument/2006/customXml" ds:itemID="{1C8CD902-95A4-4038-91DC-A35412CB97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c39681-55ed-4da2-8f7d-ea8b80276f10"/>
    <ds:schemaRef ds:uri="d4661b1e-58c0-4535-90fb-e7e8ecbc9a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vt:lpstr>
      <vt:lpstr>Windows</vt:lpstr>
      <vt:lpstr>1st Floor</vt:lpstr>
      <vt:lpstr>2nd Floor</vt:lpstr>
      <vt:lpstr>3rd Floor</vt:lpstr>
      <vt:lpstr>4th Floor</vt:lpstr>
      <vt:lpstr>Bsmt-Found</vt:lpstr>
      <vt:lpstr>Reference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Edge, Chase</dc:creator>
  <cp:lastModifiedBy>Edge, Chase</cp:lastModifiedBy>
  <dcterms:created xsi:type="dcterms:W3CDTF">2019-02-04T16:42:31Z</dcterms:created>
  <dcterms:modified xsi:type="dcterms:W3CDTF">2019-04-15T19:12:13Z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0x010100B4D880D8A08A884B9623D0A16478B683</vt:lpwstr>
  </property>
  <property fmtid="{D5CDD505-2E9C-101B-9397-08002B2CF9AE}" pid="3" name="AuthorIds_UIVersion_512">
    <vt:lpwstr>428</vt:lpwstr>
  </property>
  <property fmtid="{D5CDD505-2E9C-101B-9397-08002B2CF9AE}" pid="4" name="_dlc_DocIdItemGuid">
    <vt:lpwstr>09867c95-155d-4ed9-993b-5e6b2a39b7b9</vt:lpwstr>
  </property>
  <property fmtid="{D5CDD505-2E9C-101B-9397-08002B2CF9AE}" pid="5" name="AuthorIds_UIVersion_1024">
    <vt:lpwstr>428</vt:lpwstr>
  </property>
</Properties>
</file>